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24666f4bd078e6d/Documentos/2 Propuesta Tecnologias Tratamiento y Piscicultura/Actualizacion 2023/Contenidos 23/"/>
    </mc:Choice>
  </mc:AlternateContent>
  <xr:revisionPtr revIDLastSave="1" documentId="13_ncr:1_{4DB89857-5A16-43B6-9003-8A4210AD26B4}" xr6:coauthVersionLast="47" xr6:coauthVersionMax="47" xr10:uidLastSave="{3A4B0B93-2D76-4DAA-B295-2CE0138B7813}"/>
  <bookViews>
    <workbookView xWindow="-120" yWindow="-120" windowWidth="19440" windowHeight="15000" xr2:uid="{FCF51C29-2A11-4A59-A920-1A1E1B87FC98}"/>
  </bookViews>
  <sheets>
    <sheet name="Parrilla" sheetId="1" r:id="rId1"/>
    <sheet name="Agua-T°C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H47" i="1"/>
  <c r="H46" i="1"/>
  <c r="G41" i="1" l="1"/>
  <c r="G34" i="1"/>
  <c r="G31" i="1"/>
  <c r="G32" i="1" s="1"/>
  <c r="G26" i="1"/>
  <c r="G19" i="1"/>
  <c r="G50" i="1" s="1"/>
  <c r="G18" i="1"/>
  <c r="G15" i="1"/>
  <c r="H25" i="1"/>
  <c r="H24" i="1"/>
  <c r="H37" i="1"/>
  <c r="E26" i="1"/>
  <c r="G51" i="1" l="1"/>
  <c r="H26" i="1"/>
  <c r="G20" i="1"/>
  <c r="G22" i="1" s="1"/>
  <c r="G42" i="1" s="1"/>
  <c r="G44" i="1" s="1"/>
  <c r="G45" i="1" s="1"/>
  <c r="G36" i="1"/>
  <c r="G38" i="1" s="1"/>
  <c r="G35" i="1"/>
  <c r="E41" i="1"/>
  <c r="E34" i="1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E6" i="2"/>
  <c r="H43" i="1"/>
  <c r="H33" i="1"/>
  <c r="E31" i="1"/>
  <c r="E32" i="1" s="1"/>
  <c r="H30" i="1"/>
  <c r="H29" i="1"/>
  <c r="H28" i="1"/>
  <c r="H21" i="1"/>
  <c r="E19" i="1"/>
  <c r="E18" i="1"/>
  <c r="H17" i="1"/>
  <c r="H16" i="1"/>
  <c r="E15" i="1"/>
  <c r="H14" i="1"/>
  <c r="G39" i="1" l="1"/>
  <c r="G40" i="1"/>
  <c r="G48" i="1" s="1"/>
  <c r="G23" i="1"/>
  <c r="G52" i="1" s="1"/>
  <c r="H18" i="1"/>
  <c r="H13" i="1"/>
  <c r="H41" i="1"/>
  <c r="H19" i="1"/>
  <c r="H15" i="1"/>
  <c r="E35" i="1"/>
  <c r="H32" i="1"/>
  <c r="H31" i="1"/>
  <c r="H34" i="1"/>
  <c r="E20" i="1"/>
  <c r="E36" i="1"/>
  <c r="E50" i="1"/>
  <c r="E38" i="1" l="1"/>
  <c r="G53" i="1"/>
  <c r="E51" i="1"/>
  <c r="H51" i="1" s="1"/>
  <c r="H50" i="1"/>
  <c r="G49" i="1"/>
  <c r="G54" i="1"/>
  <c r="H35" i="1"/>
  <c r="E22" i="1"/>
  <c r="H20" i="1"/>
  <c r="H36" i="1"/>
  <c r="G55" i="1" l="1"/>
  <c r="H22" i="1"/>
  <c r="E23" i="1"/>
  <c r="E42" i="1"/>
  <c r="H38" i="1"/>
  <c r="E39" i="1"/>
  <c r="E52" i="1" l="1"/>
  <c r="H52" i="1" s="1"/>
  <c r="H39" i="1"/>
  <c r="E40" i="1"/>
  <c r="E44" i="1"/>
  <c r="E45" i="1" s="1"/>
  <c r="H42" i="1"/>
  <c r="H23" i="1"/>
  <c r="E53" i="1" l="1"/>
  <c r="H53" i="1" s="1"/>
  <c r="E48" i="1"/>
  <c r="H48" i="1" s="1"/>
  <c r="H40" i="1"/>
  <c r="H44" i="1"/>
  <c r="E54" i="1" l="1"/>
  <c r="H54" i="1" s="1"/>
  <c r="H45" i="1"/>
  <c r="E49" i="1"/>
  <c r="H49" i="1" s="1"/>
  <c r="E55" i="1" l="1"/>
  <c r="H55" i="1" s="1"/>
</calcChain>
</file>

<file path=xl/sharedStrings.xml><?xml version="1.0" encoding="utf-8"?>
<sst xmlns="http://schemas.openxmlformats.org/spreadsheetml/2006/main" count="179" uniqueCount="161">
  <si>
    <t>Clasificación de la Información</t>
  </si>
  <si>
    <t>Variables Principales de Entrada</t>
  </si>
  <si>
    <t>Parámetros de Diseño Asumidos</t>
  </si>
  <si>
    <t xml:space="preserve">Parámetros  tomados de la Literatura Científica o Técnica </t>
  </si>
  <si>
    <t>Resultados Finales e Indicadores de Desempeño</t>
  </si>
  <si>
    <t>Indicadores de Control</t>
  </si>
  <si>
    <t>Parámetros y Datos de Diseño Calculados</t>
  </si>
  <si>
    <t>Otros Cálculos</t>
  </si>
  <si>
    <t>Fuente</t>
  </si>
  <si>
    <t>Calculo Alterno</t>
  </si>
  <si>
    <t>Diferencia</t>
  </si>
  <si>
    <t xml:space="preserve">Condiciones de la Parrilla </t>
  </si>
  <si>
    <t xml:space="preserve">Concentración de OD a la salida </t>
  </si>
  <si>
    <t>Cl</t>
  </si>
  <si>
    <t>mg/L</t>
  </si>
  <si>
    <t>Variable de Ajuste</t>
  </si>
  <si>
    <t>Velocidad  en Chorros</t>
  </si>
  <si>
    <t>V</t>
  </si>
  <si>
    <t>m/s</t>
  </si>
  <si>
    <t>Cabeza de Velocidad</t>
  </si>
  <si>
    <t>hv</t>
  </si>
  <si>
    <t xml:space="preserve">m </t>
  </si>
  <si>
    <t>Chorros por Ramal</t>
  </si>
  <si>
    <t>u</t>
  </si>
  <si>
    <t>No de Ramales</t>
  </si>
  <si>
    <t>No de Chorros</t>
  </si>
  <si>
    <t>n</t>
  </si>
  <si>
    <t>Diámetro de Orificio</t>
  </si>
  <si>
    <t>1/8"</t>
  </si>
  <si>
    <t>mm</t>
  </si>
  <si>
    <t>Area de Flujo por Perforación</t>
  </si>
  <si>
    <t>mm2</t>
  </si>
  <si>
    <t>Coeficiente de Descarga</t>
  </si>
  <si>
    <t>Cd</t>
  </si>
  <si>
    <t>Caudal por Chorro</t>
  </si>
  <si>
    <t>Lps</t>
  </si>
  <si>
    <t>Caudal por Parrilla</t>
  </si>
  <si>
    <t>Q</t>
  </si>
  <si>
    <t>Altitud</t>
  </si>
  <si>
    <t>msnm</t>
  </si>
  <si>
    <t>Temperatura</t>
  </si>
  <si>
    <t>T°C</t>
  </si>
  <si>
    <t>oC</t>
  </si>
  <si>
    <t>Presion a Nivel del Mar</t>
  </si>
  <si>
    <t>P</t>
  </si>
  <si>
    <t>kPa</t>
  </si>
  <si>
    <t>Factor de Presión</t>
  </si>
  <si>
    <t>Presión en el Sitio</t>
  </si>
  <si>
    <t>Pt</t>
  </si>
  <si>
    <t>Salinidad del Agua</t>
  </si>
  <si>
    <t>gr/L</t>
  </si>
  <si>
    <t xml:space="preserve">Concentración de Saturación de O2  para Temperatura </t>
  </si>
  <si>
    <r>
      <t>Cs</t>
    </r>
    <r>
      <rPr>
        <vertAlign val="subscript"/>
        <sz val="11"/>
        <rFont val="Arial"/>
        <family val="2"/>
      </rPr>
      <t xml:space="preserve">T </t>
    </r>
  </si>
  <si>
    <t>Concentración de Saturación de O2  para Temperatura  y Altitud</t>
  </si>
  <si>
    <r>
      <t>Cs</t>
    </r>
    <r>
      <rPr>
        <vertAlign val="subscript"/>
        <sz val="11"/>
        <rFont val="Arial"/>
        <family val="2"/>
      </rPr>
      <t xml:space="preserve">TA </t>
    </r>
  </si>
  <si>
    <t xml:space="preserve">Ecuación A-14  Van de Donk (Ref. A-7)  </t>
  </si>
  <si>
    <t xml:space="preserve">Penetración de las Burbujas Calculada </t>
  </si>
  <si>
    <t>Hc</t>
  </si>
  <si>
    <t>m</t>
  </si>
  <si>
    <t xml:space="preserve">Altura de la Capa de Bioportadores                                                     </t>
  </si>
  <si>
    <t>Hb</t>
  </si>
  <si>
    <t>Profundidad de la Aireación</t>
  </si>
  <si>
    <t>Ha</t>
  </si>
  <si>
    <t>Ecuación A-4</t>
  </si>
  <si>
    <t>Concentración de Saturación de O2 en el Terreno</t>
  </si>
  <si>
    <t>Cst</t>
  </si>
  <si>
    <t>Concentración de Saturación de O2  para 20 °C a nivel del mar</t>
  </si>
  <si>
    <t>Cs20</t>
  </si>
  <si>
    <t>Ecuación A-11</t>
  </si>
  <si>
    <t>Potencia Hidráulica por Chorro</t>
  </si>
  <si>
    <t>Ph</t>
  </si>
  <si>
    <t>Kw</t>
  </si>
  <si>
    <t>Planos de Diseño</t>
  </si>
  <si>
    <t>Ecuación A-8  de Andrzej Bin  (Ref. A-9)</t>
  </si>
  <si>
    <t>SOTE</t>
  </si>
  <si>
    <r>
      <t>KgO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/kW-h</t>
    </r>
  </si>
  <si>
    <t>Ecuación A-14. Andrzej Bin.  (Ref. A-8)</t>
  </si>
  <si>
    <t>No de Froude del Chorro</t>
  </si>
  <si>
    <t>Frj</t>
  </si>
  <si>
    <t>Ecuación A-13. Andrzej Bin.  (Ref. A-8)</t>
  </si>
  <si>
    <t>Relación Caudal de Aire/Caudal de Agua</t>
  </si>
  <si>
    <t>Qa/Qw</t>
  </si>
  <si>
    <t>Caudal de Aire</t>
  </si>
  <si>
    <t>m3/h</t>
  </si>
  <si>
    <t>Intensidad de la Aireación</t>
  </si>
  <si>
    <t>Tasa de Transferencia de O2 por  Litro de Agua</t>
  </si>
  <si>
    <t>Ecuación A-1</t>
  </si>
  <si>
    <t xml:space="preserve">Coeficiente de Transferencia de Masas </t>
  </si>
  <si>
    <t>Kla</t>
  </si>
  <si>
    <t>1/min</t>
  </si>
  <si>
    <t>SOTRc</t>
  </si>
  <si>
    <t>Kg O2/h</t>
  </si>
  <si>
    <t>Metcalf &amp; Eddy ( Ref. A-1)</t>
  </si>
  <si>
    <t xml:space="preserve">Factor de Correcciòn por Salinidad y Tensión Superficial </t>
  </si>
  <si>
    <t>β</t>
  </si>
  <si>
    <t>Factor de Corrección de Transferencia de O2 para Aguas Residuales</t>
  </si>
  <si>
    <t xml:space="preserve"> α</t>
  </si>
  <si>
    <t>Ecuación A-3</t>
  </si>
  <si>
    <t xml:space="preserve">Factor Tranferencia de O2 en Condiciones Reales </t>
  </si>
  <si>
    <t>N</t>
  </si>
  <si>
    <t>Ecuación A-2</t>
  </si>
  <si>
    <t xml:space="preserve">Tasa de Transferencia de Oxígeno por Aireación por Parrilla </t>
  </si>
  <si>
    <t>AOTR</t>
  </si>
  <si>
    <t>KgO2/hora</t>
  </si>
  <si>
    <t>Temperatura T</t>
  </si>
  <si>
    <r>
      <t xml:space="preserve">Densidad </t>
    </r>
    <r>
      <rPr>
        <b/>
        <sz val="11"/>
        <color rgb="FF000000"/>
        <rFont val="GreekC"/>
      </rPr>
      <t>r</t>
    </r>
  </si>
  <si>
    <r>
      <t xml:space="preserve">Viscosidad Dinámica </t>
    </r>
    <r>
      <rPr>
        <b/>
        <sz val="11"/>
        <color rgb="FF000000"/>
        <rFont val="GreekC"/>
      </rPr>
      <t>m</t>
    </r>
  </si>
  <si>
    <r>
      <t xml:space="preserve">Viscosidad Cinemática </t>
    </r>
    <r>
      <rPr>
        <b/>
        <sz val="11"/>
        <color rgb="FF000000"/>
        <rFont val="GreekC"/>
      </rPr>
      <t>J</t>
    </r>
  </si>
  <si>
    <t>Presión de Vapor Hv</t>
  </si>
  <si>
    <t>Concentración de Saturación de O2  para T y salinidad a nivel del mar  C(s,T)</t>
  </si>
  <si>
    <t>°C</t>
  </si>
  <si>
    <t>kg/m3</t>
  </si>
  <si>
    <r>
      <t>m</t>
    </r>
    <r>
      <rPr>
        <vertAlign val="superscript"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>/sg</t>
    </r>
  </si>
  <si>
    <t>Salinidad en partes por mil (gr/L)</t>
  </si>
  <si>
    <t xml:space="preserve">Therm Exel. "Physical characteristics of water (at the atmospheric pressure)". 2.003.   </t>
  </si>
  <si>
    <t>Metcalf &amp; Eddy. “Wastewater Engineering. Treatment and Reuse”. Mc Graw Hill.            4ª Edición, 2.003.</t>
  </si>
  <si>
    <t>https://www.thermexcel.com/english/tables/eau_atm.htm</t>
  </si>
  <si>
    <t>Hoja "Agua-T°C"</t>
  </si>
  <si>
    <t>Figura A-13</t>
  </si>
  <si>
    <t>Area de Zona Aireada</t>
  </si>
  <si>
    <t>m2</t>
  </si>
  <si>
    <t>Separación entre Parrillas</t>
  </si>
  <si>
    <t>Ancho del Tanque</t>
  </si>
  <si>
    <t>Longitud Media del Chorro</t>
  </si>
  <si>
    <t xml:space="preserve">Mazzei Aeration (Ref. A-16) </t>
  </si>
  <si>
    <t>Ecuación A-10</t>
  </si>
  <si>
    <t>Minino 1,8 m</t>
  </si>
  <si>
    <t>Li</t>
  </si>
  <si>
    <t>grO2/L</t>
  </si>
  <si>
    <t>INTRUCCIONES SOBRE EL CÁLCULO ALTERNO</t>
  </si>
  <si>
    <t>Esta operación permite analizar el cambio de las variables calculadas al cambiar algunos parámetros.</t>
  </si>
  <si>
    <t>El cálculo alterno se realiza modificando el valor de uno o varios  parámetros en esta columna.</t>
  </si>
  <si>
    <t>Los parámetros que se puden modificar corresponden a la Información de Entrada.</t>
  </si>
  <si>
    <t xml:space="preserve">El color de este parámetro se cambia a un color distintivo para diferenciarlo. </t>
  </si>
  <si>
    <t xml:space="preserve">Para revertir esta operación, se coloca en la casilla  del parámetro modificado el valor correspondiente </t>
  </si>
  <si>
    <t>En el cálculo alterno es necesario aplicar la Función Objetivo en los parámetros indicados.</t>
  </si>
  <si>
    <t xml:space="preserve">Se puede tener en la abscisa una variable (p.e. caudal) que sea directamente proporcional al parámetro </t>
  </si>
  <si>
    <t>que se cambia (p.e. velocidad de los chorros)</t>
  </si>
  <si>
    <t xml:space="preserve">Cuando el cambio en el parámetro afecta el caudal, podrían requerirse cambios en dimensiones de </t>
  </si>
  <si>
    <t>tuberías y estructuras.</t>
  </si>
  <si>
    <t>Para incorporar los cambios en el cálculo original, se copian en este los datos del Cálculo Alterno,</t>
  </si>
  <si>
    <t>y luego se quita el color distitivo en este último.</t>
  </si>
  <si>
    <t xml:space="preserve">Para hacer la gráfica de un parámetro contra divesas variables, se ejecutan las siguientes instrucciones: </t>
  </si>
  <si>
    <t xml:space="preserve">- Los valores del parámetro van en la abscisa o eje horizontal, y los de las variables en las ordenadas. </t>
  </si>
  <si>
    <t>- Se rellena la fila a la derecha del parámetro con valores que se incrementan una cantidad fija.</t>
  </si>
  <si>
    <t>- En el Cálculo Alterno se coloca sucesivamente cada valor del parámetro, y los valores de las variables</t>
  </si>
  <si>
    <t xml:space="preserve">  de interés se copian en la misma fila, y en la columna correspondiente al valor del parámetro.</t>
  </si>
  <si>
    <t>- Esta operación se repite para todos los valores del parámetro.</t>
  </si>
  <si>
    <t xml:space="preserve">- Al finalizar, se copian los valores de la abcisa y las ordenadas, y se pegan traspuestos en otra hoja. </t>
  </si>
  <si>
    <t>- Se realiza la gráfica a partir de las columnas de la abcisa y de las ordenadas.</t>
  </si>
  <si>
    <t xml:space="preserve">Información de Entrada </t>
  </si>
  <si>
    <t>Información de Salida</t>
  </si>
  <si>
    <t>N.sg/m2</t>
  </si>
  <si>
    <t>Notas</t>
  </si>
  <si>
    <t>a la columna E, y luego se quita el color distintivo.</t>
  </si>
  <si>
    <t>Es importante verificar el cumplimento de las condiciones indIcadas en la columna D</t>
  </si>
  <si>
    <t>m/hora</t>
  </si>
  <si>
    <t>Transferencia de Oxígeno por Parrilla</t>
  </si>
  <si>
    <t>TRANSFERENCIA DEOXIGENO POR PARRILLA DE CHORROS EMERGIDOS SIN BIOPORTADORES</t>
  </si>
  <si>
    <t xml:space="preserve">Transferencia de O2  en Condiciones Estandar por Chorro en Tanque  </t>
  </si>
  <si>
    <t xml:space="preserve">Eficiencia Energética del Chorro en Condiciones Estándar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</si>
</sst>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_-* #,##0.00\ _€_-;\-* #,##0.00\ _€_-;_-* \-??\ _€_-;_-@_-"/>
    <numFmt numFmtId="166" formatCode="0.0000"/>
    <numFmt numFmtId="167" formatCode="_(* #,##0.00_);_(* \(#,##0.00\);_(* &quot;-&quot;??_);_(@_)"/>
    <numFmt numFmtId="168" formatCode="0.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charset val="1"/>
    </font>
    <font>
      <b/>
      <sz val="12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000000"/>
      <name val="Arial"/>
      <family val="2"/>
    </font>
    <font>
      <sz val="11"/>
      <name val="Arial"/>
      <family val="2"/>
      <charset val="1"/>
    </font>
    <font>
      <sz val="11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  <charset val="1"/>
    </font>
    <font>
      <vertAlign val="subscript"/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GreekC"/>
    </font>
    <font>
      <vertAlign val="superscript"/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2"/>
      <color rgb="FF000000"/>
      <name val="Calibri"/>
      <family val="2"/>
      <charset val="1"/>
    </font>
    <font>
      <b/>
      <sz val="12"/>
      <color rgb="FF000000"/>
      <name val="Arial"/>
      <family val="2"/>
    </font>
    <font>
      <sz val="11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CCFF99"/>
        <bgColor rgb="FFCCFFCC"/>
      </patternFill>
    </fill>
    <fill>
      <patternFill patternType="solid">
        <fgColor rgb="FFD2F9FE"/>
        <bgColor rgb="FFCCFFFF"/>
      </patternFill>
    </fill>
    <fill>
      <patternFill patternType="solid">
        <fgColor theme="8" tint="0.79998168889431442"/>
        <bgColor rgb="FFDBEEF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rgb="FFFBE5D6"/>
      </patternFill>
    </fill>
    <fill>
      <patternFill patternType="solid">
        <fgColor rgb="FFFFF2CC"/>
        <bgColor rgb="FFDEEBF7"/>
      </patternFill>
    </fill>
    <fill>
      <patternFill patternType="solid">
        <fgColor theme="8" tint="0.79998168889431442"/>
        <bgColor rgb="FFCCFFFF"/>
      </patternFill>
    </fill>
    <fill>
      <patternFill patternType="solid">
        <fgColor theme="8" tint="0.79998168889431442"/>
        <bgColor rgb="FFD2F9FE"/>
      </patternFill>
    </fill>
    <fill>
      <patternFill patternType="solid">
        <fgColor rgb="FFDEEBF7"/>
        <bgColor rgb="FFDBEEF4"/>
      </patternFill>
    </fill>
    <fill>
      <patternFill patternType="solid">
        <fgColor rgb="FFFFF2CC"/>
        <bgColor rgb="FFFDEADA"/>
      </patternFill>
    </fill>
    <fill>
      <patternFill patternType="solid">
        <fgColor theme="8" tint="0.79998168889431442"/>
        <bgColor rgb="FFEEEEEE"/>
      </patternFill>
    </fill>
    <fill>
      <patternFill patternType="solid">
        <fgColor theme="0"/>
        <bgColor rgb="FFEBF1DE"/>
      </patternFill>
    </fill>
    <fill>
      <patternFill patternType="solid">
        <fgColor theme="0"/>
        <bgColor rgb="FFEEEEEE"/>
      </patternFill>
    </fill>
    <fill>
      <patternFill patternType="solid">
        <fgColor theme="5" tint="0.79998168889431442"/>
        <bgColor rgb="FFDBEEF4"/>
      </patternFill>
    </fill>
    <fill>
      <patternFill patternType="solid">
        <fgColor theme="5" tint="0.79998168889431442"/>
        <bgColor rgb="FFFDEADA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BE5D6"/>
        <bgColor rgb="FFFDEADA"/>
      </patternFill>
    </fill>
    <fill>
      <patternFill patternType="solid">
        <fgColor rgb="FFCCFFFF"/>
        <bgColor rgb="FFD2F9FE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18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/>
    <xf numFmtId="0" fontId="6" fillId="5" borderId="1" xfId="0" applyFont="1" applyFill="1" applyBorder="1"/>
    <xf numFmtId="0" fontId="5" fillId="0" borderId="0" xfId="0" applyFont="1"/>
    <xf numFmtId="0" fontId="3" fillId="0" borderId="1" xfId="0" applyFont="1" applyBorder="1"/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/>
    </xf>
    <xf numFmtId="4" fontId="5" fillId="2" borderId="3" xfId="0" applyNumberFormat="1" applyFont="1" applyFill="1" applyBorder="1" applyAlignment="1">
      <alignment horizontal="right" indent="1"/>
    </xf>
    <xf numFmtId="0" fontId="5" fillId="2" borderId="4" xfId="0" applyFont="1" applyFill="1" applyBorder="1"/>
    <xf numFmtId="2" fontId="5" fillId="0" borderId="2" xfId="0" applyNumberFormat="1" applyFont="1" applyBorder="1" applyAlignment="1">
      <alignment horizontal="right" indent="1"/>
    </xf>
    <xf numFmtId="0" fontId="5" fillId="0" borderId="3" xfId="0" applyFont="1" applyBorder="1" applyAlignment="1">
      <alignment horizontal="center"/>
    </xf>
    <xf numFmtId="2" fontId="3" fillId="0" borderId="3" xfId="0" applyNumberFormat="1" applyFont="1" applyBorder="1" applyAlignment="1">
      <alignment horizontal="right" indent="1"/>
    </xf>
    <xf numFmtId="0" fontId="3" fillId="0" borderId="4" xfId="0" applyFont="1" applyBorder="1"/>
    <xf numFmtId="0" fontId="3" fillId="8" borderId="1" xfId="0" applyFont="1" applyFill="1" applyBorder="1"/>
    <xf numFmtId="1" fontId="3" fillId="9" borderId="3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right" indent="1"/>
    </xf>
    <xf numFmtId="0" fontId="3" fillId="9" borderId="4" xfId="0" applyFont="1" applyFill="1" applyBorder="1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right" vertical="center" indent="1"/>
    </xf>
    <xf numFmtId="2" fontId="3" fillId="9" borderId="3" xfId="0" applyNumberFormat="1" applyFont="1" applyFill="1" applyBorder="1" applyAlignment="1">
      <alignment horizontal="right" indent="1"/>
    </xf>
    <xf numFmtId="2" fontId="5" fillId="0" borderId="5" xfId="0" applyNumberFormat="1" applyFont="1" applyBorder="1" applyAlignment="1">
      <alignment horizontal="right" vertical="center" indent="1"/>
    </xf>
    <xf numFmtId="0" fontId="3" fillId="10" borderId="1" xfId="0" applyFont="1" applyFill="1" applyBorder="1"/>
    <xf numFmtId="0" fontId="5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right" indent="1"/>
    </xf>
    <xf numFmtId="0" fontId="3" fillId="10" borderId="4" xfId="0" applyFont="1" applyFill="1" applyBorder="1"/>
    <xf numFmtId="0" fontId="3" fillId="11" borderId="1" xfId="0" applyFont="1" applyFill="1" applyBorder="1" applyAlignment="1">
      <alignment vertical="center"/>
    </xf>
    <xf numFmtId="0" fontId="3" fillId="11" borderId="3" xfId="0" applyFont="1" applyFill="1" applyBorder="1" applyAlignment="1">
      <alignment horizontal="center" vertical="center"/>
    </xf>
    <xf numFmtId="2" fontId="5" fillId="11" borderId="5" xfId="0" applyNumberFormat="1" applyFont="1" applyFill="1" applyBorder="1" applyAlignment="1">
      <alignment horizontal="right" vertical="center" indent="1"/>
    </xf>
    <xf numFmtId="0" fontId="3" fillId="11" borderId="4" xfId="0" applyFont="1" applyFill="1" applyBorder="1"/>
    <xf numFmtId="0" fontId="5" fillId="0" borderId="0" xfId="0" applyFont="1" applyAlignment="1">
      <alignment horizontal="right"/>
    </xf>
    <xf numFmtId="3" fontId="5" fillId="2" borderId="3" xfId="0" applyNumberFormat="1" applyFont="1" applyFill="1" applyBorder="1" applyAlignment="1">
      <alignment horizontal="right" indent="1"/>
    </xf>
    <xf numFmtId="0" fontId="5" fillId="12" borderId="1" xfId="0" applyFont="1" applyFill="1" applyBorder="1" applyAlignment="1">
      <alignment vertical="center" wrapText="1"/>
    </xf>
    <xf numFmtId="0" fontId="5" fillId="12" borderId="3" xfId="0" applyFont="1" applyFill="1" applyBorder="1" applyAlignment="1">
      <alignment horizontal="center"/>
    </xf>
    <xf numFmtId="2" fontId="5" fillId="12" borderId="3" xfId="0" applyNumberFormat="1" applyFont="1" applyFill="1" applyBorder="1" applyAlignment="1">
      <alignment horizontal="right" indent="1"/>
    </xf>
    <xf numFmtId="0" fontId="5" fillId="12" borderId="4" xfId="0" applyFont="1" applyFill="1" applyBorder="1"/>
    <xf numFmtId="0" fontId="6" fillId="12" borderId="1" xfId="0" applyFont="1" applyFill="1" applyBorder="1" applyAlignment="1">
      <alignment vertical="center" wrapText="1"/>
    </xf>
    <xf numFmtId="0" fontId="6" fillId="12" borderId="3" xfId="0" applyFont="1" applyFill="1" applyBorder="1" applyAlignment="1">
      <alignment horizontal="center"/>
    </xf>
    <xf numFmtId="2" fontId="6" fillId="12" borderId="3" xfId="0" applyNumberFormat="1" applyFont="1" applyFill="1" applyBorder="1" applyAlignment="1">
      <alignment horizontal="right" indent="1"/>
    </xf>
    <xf numFmtId="0" fontId="6" fillId="12" borderId="4" xfId="0" applyFont="1" applyFill="1" applyBorder="1"/>
    <xf numFmtId="0" fontId="6" fillId="14" borderId="3" xfId="0" applyFont="1" applyFill="1" applyBorder="1" applyAlignment="1">
      <alignment horizontal="center"/>
    </xf>
    <xf numFmtId="2" fontId="6" fillId="13" borderId="3" xfId="0" applyNumberFormat="1" applyFont="1" applyFill="1" applyBorder="1" applyAlignment="1">
      <alignment horizontal="right" indent="1"/>
    </xf>
    <xf numFmtId="0" fontId="6" fillId="13" borderId="4" xfId="0" applyFont="1" applyFill="1" applyBorder="1"/>
    <xf numFmtId="0" fontId="6" fillId="15" borderId="1" xfId="0" applyFont="1" applyFill="1" applyBorder="1" applyAlignment="1">
      <alignment vertical="center"/>
    </xf>
    <xf numFmtId="0" fontId="6" fillId="15" borderId="3" xfId="0" applyFont="1" applyFill="1" applyBorder="1" applyAlignment="1">
      <alignment horizontal="center" vertical="center"/>
    </xf>
    <xf numFmtId="2" fontId="6" fillId="16" borderId="5" xfId="0" applyNumberFormat="1" applyFont="1" applyFill="1" applyBorder="1" applyAlignment="1">
      <alignment horizontal="right" vertical="center" indent="1"/>
    </xf>
    <xf numFmtId="0" fontId="6" fillId="15" borderId="4" xfId="0" applyFont="1" applyFill="1" applyBorder="1" applyAlignment="1">
      <alignment vertical="center"/>
    </xf>
    <xf numFmtId="2" fontId="6" fillId="0" borderId="5" xfId="0" applyNumberFormat="1" applyFont="1" applyBorder="1" applyAlignment="1">
      <alignment horizontal="right" vertical="center" indent="1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horizontal="center"/>
    </xf>
    <xf numFmtId="2" fontId="6" fillId="13" borderId="6" xfId="0" applyNumberFormat="1" applyFont="1" applyFill="1" applyBorder="1" applyAlignment="1">
      <alignment horizontal="right" indent="1"/>
    </xf>
    <xf numFmtId="0" fontId="6" fillId="0" borderId="8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2" fontId="6" fillId="13" borderId="5" xfId="0" applyNumberFormat="1" applyFont="1" applyFill="1" applyBorder="1" applyAlignment="1">
      <alignment horizontal="right" indent="1"/>
    </xf>
    <xf numFmtId="0" fontId="6" fillId="0" borderId="9" xfId="0" applyFont="1" applyBorder="1" applyAlignment="1">
      <alignment horizontal="left"/>
    </xf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/>
    <xf numFmtId="0" fontId="6" fillId="17" borderId="1" xfId="0" applyFont="1" applyFill="1" applyBorder="1" applyAlignment="1">
      <alignment vertical="center" wrapText="1"/>
    </xf>
    <xf numFmtId="0" fontId="6" fillId="17" borderId="3" xfId="0" applyFont="1" applyFill="1" applyBorder="1" applyAlignment="1">
      <alignment horizontal="center" vertical="center"/>
    </xf>
    <xf numFmtId="2" fontId="6" fillId="17" borderId="3" xfId="0" applyNumberFormat="1" applyFont="1" applyFill="1" applyBorder="1" applyAlignment="1">
      <alignment horizontal="right" vertical="center" indent="1"/>
    </xf>
    <xf numFmtId="0" fontId="6" fillId="17" borderId="4" xfId="0" applyFont="1" applyFill="1" applyBorder="1" applyAlignment="1">
      <alignment vertical="center"/>
    </xf>
    <xf numFmtId="2" fontId="6" fillId="0" borderId="3" xfId="0" applyNumberFormat="1" applyFont="1" applyBorder="1" applyAlignment="1">
      <alignment horizontal="right" vertical="center" indent="1"/>
    </xf>
    <xf numFmtId="0" fontId="6" fillId="18" borderId="1" xfId="0" applyFont="1" applyFill="1" applyBorder="1"/>
    <xf numFmtId="0" fontId="6" fillId="18" borderId="3" xfId="0" applyFont="1" applyFill="1" applyBorder="1" applyAlignment="1">
      <alignment horizontal="center"/>
    </xf>
    <xf numFmtId="166" fontId="6" fillId="18" borderId="5" xfId="0" applyNumberFormat="1" applyFont="1" applyFill="1" applyBorder="1" applyAlignment="1">
      <alignment horizontal="right" vertical="center" indent="1"/>
    </xf>
    <xf numFmtId="0" fontId="6" fillId="18" borderId="4" xfId="0" applyFont="1" applyFill="1" applyBorder="1"/>
    <xf numFmtId="0" fontId="6" fillId="3" borderId="1" xfId="0" applyFont="1" applyFill="1" applyBorder="1"/>
    <xf numFmtId="1" fontId="6" fillId="19" borderId="3" xfId="0" applyNumberFormat="1" applyFont="1" applyFill="1" applyBorder="1" applyAlignment="1">
      <alignment horizontal="center"/>
    </xf>
    <xf numFmtId="2" fontId="6" fillId="19" borderId="3" xfId="0" applyNumberFormat="1" applyFont="1" applyFill="1" applyBorder="1" applyAlignment="1">
      <alignment horizontal="right" indent="1"/>
    </xf>
    <xf numFmtId="0" fontId="6" fillId="19" borderId="4" xfId="0" applyFont="1" applyFill="1" applyBorder="1"/>
    <xf numFmtId="167" fontId="6" fillId="5" borderId="3" xfId="0" applyNumberFormat="1" applyFont="1" applyFill="1" applyBorder="1" applyAlignment="1">
      <alignment horizontal="center" vertical="center"/>
    </xf>
    <xf numFmtId="2" fontId="6" fillId="5" borderId="3" xfId="0" applyNumberFormat="1" applyFont="1" applyFill="1" applyBorder="1" applyAlignment="1">
      <alignment horizontal="right" indent="1"/>
    </xf>
    <xf numFmtId="2" fontId="6" fillId="5" borderId="4" xfId="0" applyNumberFormat="1" applyFont="1" applyFill="1" applyBorder="1"/>
    <xf numFmtId="0" fontId="6" fillId="5" borderId="1" xfId="0" applyFont="1" applyFill="1" applyBorder="1" applyAlignment="1">
      <alignment vertical="center" wrapText="1"/>
    </xf>
    <xf numFmtId="2" fontId="6" fillId="5" borderId="4" xfId="0" applyNumberFormat="1" applyFont="1" applyFill="1" applyBorder="1" applyAlignment="1">
      <alignment vertical="center"/>
    </xf>
    <xf numFmtId="166" fontId="6" fillId="5" borderId="3" xfId="0" applyNumberFormat="1" applyFont="1" applyFill="1" applyBorder="1" applyAlignment="1">
      <alignment horizontal="right" vertical="center" indent="1"/>
    </xf>
    <xf numFmtId="0" fontId="5" fillId="12" borderId="3" xfId="0" applyFont="1" applyFill="1" applyBorder="1" applyAlignment="1">
      <alignment horizontal="center" vertical="center"/>
    </xf>
    <xf numFmtId="2" fontId="5" fillId="12" borderId="3" xfId="0" applyNumberFormat="1" applyFont="1" applyFill="1" applyBorder="1" applyAlignment="1">
      <alignment horizontal="right" vertical="center" indent="1"/>
    </xf>
    <xf numFmtId="0" fontId="5" fillId="12" borderId="4" xfId="0" applyFont="1" applyFill="1" applyBorder="1" applyAlignment="1">
      <alignment vertical="center"/>
    </xf>
    <xf numFmtId="0" fontId="5" fillId="0" borderId="1" xfId="0" applyFont="1" applyBorder="1"/>
    <xf numFmtId="0" fontId="5" fillId="0" borderId="4" xfId="0" applyFont="1" applyBorder="1"/>
    <xf numFmtId="167" fontId="6" fillId="5" borderId="3" xfId="0" applyNumberFormat="1" applyFont="1" applyFill="1" applyBorder="1" applyAlignment="1">
      <alignment horizontal="center"/>
    </xf>
    <xf numFmtId="2" fontId="6" fillId="0" borderId="0" xfId="0" applyNumberFormat="1" applyFont="1" applyAlignment="1">
      <alignment horizontal="right" indent="1"/>
    </xf>
    <xf numFmtId="2" fontId="5" fillId="0" borderId="0" xfId="0" applyNumberFormat="1" applyFont="1" applyAlignment="1">
      <alignment horizontal="right" indent="1"/>
    </xf>
    <xf numFmtId="167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/>
    <xf numFmtId="0" fontId="6" fillId="0" borderId="0" xfId="0" applyFont="1"/>
    <xf numFmtId="167" fontId="6" fillId="0" borderId="0" xfId="0" applyNumberFormat="1" applyFont="1" applyAlignment="1">
      <alignment horizontal="center"/>
    </xf>
    <xf numFmtId="2" fontId="6" fillId="0" borderId="0" xfId="0" applyNumberFormat="1" applyFont="1"/>
    <xf numFmtId="0" fontId="4" fillId="5" borderId="2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4" fillId="20" borderId="2" xfId="0" applyFont="1" applyFill="1" applyBorder="1" applyAlignment="1">
      <alignment horizontal="center" vertical="center" wrapText="1"/>
    </xf>
    <xf numFmtId="2" fontId="14" fillId="20" borderId="2" xfId="0" applyNumberFormat="1" applyFont="1" applyFill="1" applyBorder="1" applyAlignment="1">
      <alignment horizontal="center" vertical="center" wrapText="1"/>
    </xf>
    <xf numFmtId="168" fontId="14" fillId="20" borderId="2" xfId="0" applyNumberFormat="1" applyFont="1" applyFill="1" applyBorder="1" applyAlignment="1">
      <alignment horizontal="center" vertical="center" wrapText="1"/>
    </xf>
    <xf numFmtId="11" fontId="0" fillId="0" borderId="2" xfId="0" applyNumberFormat="1" applyBorder="1" applyAlignment="1">
      <alignment horizontal="center"/>
    </xf>
    <xf numFmtId="0" fontId="11" fillId="0" borderId="12" xfId="1" applyBorder="1"/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9" xfId="0" applyBorder="1"/>
    <xf numFmtId="0" fontId="0" fillId="0" borderId="0" xfId="0" applyAlignment="1">
      <alignment horizontal="center"/>
    </xf>
    <xf numFmtId="0" fontId="6" fillId="0" borderId="1" xfId="0" applyFont="1" applyBorder="1"/>
    <xf numFmtId="166" fontId="6" fillId="0" borderId="3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left"/>
    </xf>
    <xf numFmtId="0" fontId="4" fillId="0" borderId="10" xfId="0" applyFont="1" applyBorder="1"/>
    <xf numFmtId="0" fontId="5" fillId="2" borderId="2" xfId="0" applyFont="1" applyFill="1" applyBorder="1"/>
    <xf numFmtId="0" fontId="5" fillId="3" borderId="2" xfId="0" applyFont="1" applyFill="1" applyBorder="1"/>
    <xf numFmtId="0" fontId="3" fillId="4" borderId="2" xfId="0" applyFont="1" applyFill="1" applyBorder="1"/>
    <xf numFmtId="0" fontId="4" fillId="0" borderId="13" xfId="0" applyFont="1" applyBorder="1"/>
    <xf numFmtId="0" fontId="6" fillId="5" borderId="2" xfId="0" applyFont="1" applyFill="1" applyBorder="1"/>
    <xf numFmtId="0" fontId="5" fillId="6" borderId="2" xfId="0" applyFont="1" applyFill="1" applyBorder="1"/>
    <xf numFmtId="0" fontId="5" fillId="7" borderId="2" xfId="0" applyFont="1" applyFill="1" applyBorder="1"/>
    <xf numFmtId="0" fontId="3" fillId="0" borderId="2" xfId="0" applyFont="1" applyBorder="1"/>
    <xf numFmtId="0" fontId="6" fillId="13" borderId="1" xfId="0" applyFont="1" applyFill="1" applyBorder="1" applyAlignment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12" xfId="0" applyFont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7" fillId="0" borderId="2" xfId="0" applyFont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15" fillId="0" borderId="1" xfId="0" applyFont="1" applyBorder="1"/>
    <xf numFmtId="9" fontId="6" fillId="0" borderId="10" xfId="0" applyNumberFormat="1" applyFont="1" applyBorder="1" applyAlignment="1">
      <alignment horizontal="right" indent="1"/>
    </xf>
    <xf numFmtId="2" fontId="5" fillId="0" borderId="10" xfId="0" applyNumberFormat="1" applyFont="1" applyBorder="1" applyAlignment="1">
      <alignment horizontal="right" indent="1"/>
    </xf>
    <xf numFmtId="0" fontId="10" fillId="0" borderId="3" xfId="0" applyFont="1" applyBorder="1" applyAlignment="1">
      <alignment horizontal="center"/>
    </xf>
    <xf numFmtId="0" fontId="10" fillId="0" borderId="3" xfId="0" applyFont="1" applyBorder="1" applyAlignment="1">
      <alignment horizontal="right" indent="1"/>
    </xf>
    <xf numFmtId="0" fontId="10" fillId="0" borderId="4" xfId="0" applyFont="1" applyBorder="1"/>
    <xf numFmtId="2" fontId="5" fillId="0" borderId="11" xfId="0" applyNumberFormat="1" applyFont="1" applyBorder="1" applyAlignment="1">
      <alignment horizontal="right" indent="1"/>
    </xf>
    <xf numFmtId="0" fontId="6" fillId="21" borderId="1" xfId="0" applyFont="1" applyFill="1" applyBorder="1"/>
    <xf numFmtId="167" fontId="6" fillId="21" borderId="3" xfId="0" applyNumberFormat="1" applyFont="1" applyFill="1" applyBorder="1" applyAlignment="1">
      <alignment horizontal="center" vertical="center"/>
    </xf>
    <xf numFmtId="2" fontId="6" fillId="21" borderId="3" xfId="0" applyNumberFormat="1" applyFont="1" applyFill="1" applyBorder="1" applyAlignment="1">
      <alignment horizontal="right" indent="1"/>
    </xf>
    <xf numFmtId="2" fontId="6" fillId="21" borderId="4" xfId="0" applyNumberFormat="1" applyFont="1" applyFill="1" applyBorder="1"/>
    <xf numFmtId="4" fontId="5" fillId="0" borderId="3" xfId="0" applyNumberFormat="1" applyFont="1" applyBorder="1" applyAlignment="1">
      <alignment horizontal="right" indent="1"/>
    </xf>
    <xf numFmtId="1" fontId="3" fillId="0" borderId="3" xfId="0" applyNumberFormat="1" applyFont="1" applyBorder="1" applyAlignment="1">
      <alignment horizontal="right" indent="1"/>
    </xf>
    <xf numFmtId="3" fontId="5" fillId="0" borderId="3" xfId="0" applyNumberFormat="1" applyFont="1" applyBorder="1" applyAlignment="1">
      <alignment horizontal="right" indent="1"/>
    </xf>
    <xf numFmtId="2" fontId="5" fillId="0" borderId="3" xfId="0" applyNumberFormat="1" applyFont="1" applyBorder="1" applyAlignment="1">
      <alignment horizontal="right" indent="1"/>
    </xf>
    <xf numFmtId="2" fontId="6" fillId="0" borderId="3" xfId="0" applyNumberFormat="1" applyFont="1" applyBorder="1" applyAlignment="1">
      <alignment horizontal="right" indent="1"/>
    </xf>
    <xf numFmtId="2" fontId="6" fillId="0" borderId="5" xfId="0" applyNumberFormat="1" applyFont="1" applyBorder="1" applyAlignment="1">
      <alignment horizontal="right" indent="1"/>
    </xf>
    <xf numFmtId="166" fontId="6" fillId="0" borderId="5" xfId="0" applyNumberFormat="1" applyFont="1" applyBorder="1" applyAlignment="1">
      <alignment horizontal="right" vertical="center" indent="1"/>
    </xf>
    <xf numFmtId="166" fontId="6" fillId="0" borderId="3" xfId="0" applyNumberFormat="1" applyFont="1" applyBorder="1" applyAlignment="1">
      <alignment horizontal="right" vertical="center" indent="1"/>
    </xf>
    <xf numFmtId="2" fontId="5" fillId="0" borderId="3" xfId="0" applyNumberFormat="1" applyFont="1" applyBorder="1" applyAlignment="1">
      <alignment horizontal="right" vertical="center" indent="1"/>
    </xf>
    <xf numFmtId="9" fontId="6" fillId="0" borderId="9" xfId="0" applyNumberFormat="1" applyFont="1" applyBorder="1" applyAlignment="1">
      <alignment horizontal="right" indent="1"/>
    </xf>
    <xf numFmtId="165" fontId="5" fillId="0" borderId="5" xfId="0" applyNumberFormat="1" applyFont="1" applyBorder="1" applyAlignment="1">
      <alignment horizontal="right" indent="1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 indent="1"/>
    </xf>
    <xf numFmtId="0" fontId="5" fillId="0" borderId="14" xfId="0" applyFont="1" applyBorder="1" applyAlignment="1">
      <alignment horizontal="left"/>
    </xf>
    <xf numFmtId="0" fontId="7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8" fillId="0" borderId="3" xfId="0" applyFont="1" applyBorder="1" applyAlignment="1">
      <alignment horizontal="right"/>
    </xf>
    <xf numFmtId="0" fontId="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/>
    </xf>
    <xf numFmtId="0" fontId="0" fillId="0" borderId="2" xfId="0" applyBorder="1"/>
    <xf numFmtId="2" fontId="6" fillId="0" borderId="2" xfId="0" applyNumberFormat="1" applyFont="1" applyBorder="1" applyAlignment="1">
      <alignment horizontal="right" indent="1"/>
    </xf>
    <xf numFmtId="2" fontId="5" fillId="0" borderId="2" xfId="0" applyNumberFormat="1" applyFont="1" applyBorder="1" applyAlignment="1">
      <alignment horizontal="right" vertical="center" indent="1"/>
    </xf>
    <xf numFmtId="2" fontId="6" fillId="5" borderId="3" xfId="0" applyNumberFormat="1" applyFont="1" applyFill="1" applyBorder="1" applyAlignment="1">
      <alignment horizontal="right" vertical="center" indent="1"/>
    </xf>
    <xf numFmtId="0" fontId="17" fillId="0" borderId="1" xfId="0" applyFont="1" applyBorder="1" applyAlignment="1">
      <alignment horizontal="left" vertical="center"/>
    </xf>
    <xf numFmtId="167" fontId="18" fillId="5" borderId="3" xfId="0" applyNumberFormat="1" applyFont="1" applyFill="1" applyBorder="1" applyAlignment="1">
      <alignment horizontal="center" vertical="center"/>
    </xf>
    <xf numFmtId="0" fontId="5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5" fillId="0" borderId="0" xfId="0" applyFont="1" applyAlignment="1">
      <alignment vertical="center" wrapText="1"/>
    </xf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0" fillId="0" borderId="7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9" xfId="0" applyBorder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hermexcel.com/english/tables/eau_atm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A33F7-3495-48C0-98D0-B3B68661B636}">
  <dimension ref="A1:H79"/>
  <sheetViews>
    <sheetView showGridLines="0" tabSelected="1" topLeftCell="C11" zoomScale="75" zoomScaleNormal="75" workbookViewId="0">
      <selection activeCell="L42" sqref="L42"/>
    </sheetView>
  </sheetViews>
  <sheetFormatPr baseColWidth="10" defaultRowHeight="15" x14ac:dyDescent="0.25"/>
  <cols>
    <col min="1" max="1" width="21" customWidth="1"/>
    <col min="2" max="2" width="38.42578125" style="1" customWidth="1"/>
    <col min="3" max="3" width="66" customWidth="1"/>
    <col min="4" max="4" width="13.140625" customWidth="1"/>
    <col min="5" max="5" width="11.85546875" customWidth="1"/>
    <col min="6" max="6" width="11.28515625" customWidth="1"/>
    <col min="7" max="7" width="12.7109375" customWidth="1"/>
    <col min="8" max="8" width="14.85546875" customWidth="1"/>
  </cols>
  <sheetData>
    <row r="1" spans="1:8" ht="15.75" x14ac:dyDescent="0.25">
      <c r="C1" s="2" t="s">
        <v>0</v>
      </c>
      <c r="D1" s="3"/>
      <c r="E1" s="4"/>
    </row>
    <row r="2" spans="1:8" x14ac:dyDescent="0.25">
      <c r="C2" s="108" t="s">
        <v>150</v>
      </c>
      <c r="D2" s="3"/>
      <c r="E2" s="4"/>
    </row>
    <row r="3" spans="1:8" x14ac:dyDescent="0.25">
      <c r="C3" s="109" t="s">
        <v>1</v>
      </c>
      <c r="D3" s="7"/>
      <c r="E3" s="4"/>
    </row>
    <row r="4" spans="1:8" x14ac:dyDescent="0.25">
      <c r="C4" s="110" t="s">
        <v>2</v>
      </c>
      <c r="D4" s="7"/>
      <c r="E4" s="4"/>
    </row>
    <row r="5" spans="1:8" x14ac:dyDescent="0.25">
      <c r="C5" s="111" t="s">
        <v>3</v>
      </c>
      <c r="D5" s="4"/>
      <c r="E5" s="4"/>
    </row>
    <row r="6" spans="1:8" x14ac:dyDescent="0.25">
      <c r="C6" s="112" t="s">
        <v>151</v>
      </c>
      <c r="D6" s="5"/>
      <c r="E6" s="4"/>
    </row>
    <row r="7" spans="1:8" x14ac:dyDescent="0.25">
      <c r="C7" s="113" t="s">
        <v>4</v>
      </c>
      <c r="D7" s="91"/>
      <c r="E7" s="4"/>
    </row>
    <row r="8" spans="1:8" x14ac:dyDescent="0.25">
      <c r="C8" s="114" t="s">
        <v>5</v>
      </c>
      <c r="D8" s="7"/>
      <c r="E8" s="4"/>
    </row>
    <row r="9" spans="1:8" x14ac:dyDescent="0.25">
      <c r="C9" s="115" t="s">
        <v>6</v>
      </c>
      <c r="D9" s="7"/>
      <c r="E9" s="7"/>
    </row>
    <row r="10" spans="1:8" x14ac:dyDescent="0.25">
      <c r="C10" s="116" t="s">
        <v>7</v>
      </c>
      <c r="D10" s="4"/>
      <c r="E10" s="4"/>
    </row>
    <row r="11" spans="1:8" ht="36.75" customHeight="1" x14ac:dyDescent="0.25">
      <c r="A11" s="122" t="s">
        <v>153</v>
      </c>
      <c r="B11" s="149" t="s">
        <v>8</v>
      </c>
      <c r="C11" s="158" t="s">
        <v>158</v>
      </c>
      <c r="D11" s="120"/>
      <c r="E11" s="120"/>
      <c r="F11" s="121"/>
      <c r="G11" s="122" t="s">
        <v>9</v>
      </c>
      <c r="H11" s="123" t="s">
        <v>10</v>
      </c>
    </row>
    <row r="12" spans="1:8" x14ac:dyDescent="0.25">
      <c r="A12" s="144"/>
      <c r="B12" s="130"/>
      <c r="C12" s="124" t="s">
        <v>11</v>
      </c>
      <c r="D12" s="127"/>
      <c r="E12" s="128"/>
      <c r="F12" s="129"/>
      <c r="G12" s="144"/>
      <c r="H12" s="130"/>
    </row>
    <row r="13" spans="1:8" ht="15" customHeight="1" x14ac:dyDescent="0.25">
      <c r="A13" s="154"/>
      <c r="B13" s="150"/>
      <c r="C13" s="9" t="s">
        <v>12</v>
      </c>
      <c r="D13" s="10" t="s">
        <v>13</v>
      </c>
      <c r="E13" s="11">
        <v>3</v>
      </c>
      <c r="F13" s="12" t="s">
        <v>14</v>
      </c>
      <c r="G13" s="135">
        <v>3</v>
      </c>
      <c r="H13" s="13">
        <f t="shared" ref="H13:H26" si="0">G13-E13</f>
        <v>0</v>
      </c>
    </row>
    <row r="14" spans="1:8" ht="15" customHeight="1" x14ac:dyDescent="0.25">
      <c r="A14" s="154"/>
      <c r="B14" s="151" t="s">
        <v>15</v>
      </c>
      <c r="C14" s="71" t="s">
        <v>16</v>
      </c>
      <c r="D14" s="72" t="s">
        <v>17</v>
      </c>
      <c r="E14" s="73">
        <v>10</v>
      </c>
      <c r="F14" s="74" t="s">
        <v>18</v>
      </c>
      <c r="G14" s="135">
        <v>10</v>
      </c>
      <c r="H14" s="13">
        <f t="shared" si="0"/>
        <v>0</v>
      </c>
    </row>
    <row r="15" spans="1:8" ht="15" customHeight="1" x14ac:dyDescent="0.25">
      <c r="A15" s="154"/>
      <c r="B15" s="150"/>
      <c r="C15" s="8" t="s">
        <v>19</v>
      </c>
      <c r="D15" s="14" t="s">
        <v>20</v>
      </c>
      <c r="E15" s="15">
        <f>E14^2/19.6</f>
        <v>5.1020408163265305</v>
      </c>
      <c r="F15" s="16" t="s">
        <v>21</v>
      </c>
      <c r="G15" s="15">
        <f>G14^2/19.6</f>
        <v>5.1020408163265305</v>
      </c>
      <c r="H15" s="13">
        <f t="shared" si="0"/>
        <v>0</v>
      </c>
    </row>
    <row r="16" spans="1:8" ht="15" customHeight="1" x14ac:dyDescent="0.25">
      <c r="A16" s="154"/>
      <c r="B16" s="150"/>
      <c r="C16" s="17" t="s">
        <v>22</v>
      </c>
      <c r="D16" s="18"/>
      <c r="E16" s="19">
        <v>3</v>
      </c>
      <c r="F16" s="20" t="s">
        <v>23</v>
      </c>
      <c r="G16" s="136">
        <v>3</v>
      </c>
      <c r="H16" s="13">
        <f t="shared" si="0"/>
        <v>0</v>
      </c>
    </row>
    <row r="17" spans="1:8" ht="15" customHeight="1" x14ac:dyDescent="0.25">
      <c r="A17" s="154"/>
      <c r="B17" s="150"/>
      <c r="C17" s="17" t="s">
        <v>24</v>
      </c>
      <c r="D17" s="18"/>
      <c r="E17" s="19">
        <v>18</v>
      </c>
      <c r="F17" s="20" t="s">
        <v>23</v>
      </c>
      <c r="G17" s="136">
        <v>18</v>
      </c>
      <c r="H17" s="13">
        <f t="shared" si="0"/>
        <v>0</v>
      </c>
    </row>
    <row r="18" spans="1:8" ht="15" customHeight="1" x14ac:dyDescent="0.25">
      <c r="A18" s="154"/>
      <c r="B18" s="150"/>
      <c r="C18" s="21" t="s">
        <v>25</v>
      </c>
      <c r="D18" s="22" t="s">
        <v>26</v>
      </c>
      <c r="E18" s="23">
        <f>E16*E17</f>
        <v>54</v>
      </c>
      <c r="F18" s="16" t="s">
        <v>23</v>
      </c>
      <c r="G18" s="23">
        <f>G16*G17</f>
        <v>54</v>
      </c>
      <c r="H18" s="13">
        <f t="shared" si="0"/>
        <v>0</v>
      </c>
    </row>
    <row r="19" spans="1:8" ht="15" customHeight="1" x14ac:dyDescent="0.25">
      <c r="A19" s="154"/>
      <c r="B19" s="150"/>
      <c r="C19" s="17" t="s">
        <v>27</v>
      </c>
      <c r="D19" s="18" t="s">
        <v>28</v>
      </c>
      <c r="E19" s="24">
        <f>25.4/8</f>
        <v>3.1749999999999998</v>
      </c>
      <c r="F19" s="20" t="s">
        <v>29</v>
      </c>
      <c r="G19" s="15">
        <f>25.4/8</f>
        <v>3.1749999999999998</v>
      </c>
      <c r="H19" s="13">
        <f t="shared" si="0"/>
        <v>0</v>
      </c>
    </row>
    <row r="20" spans="1:8" ht="15" customHeight="1" x14ac:dyDescent="0.25">
      <c r="A20" s="154"/>
      <c r="B20" s="150"/>
      <c r="C20" s="21" t="s">
        <v>30</v>
      </c>
      <c r="D20" s="22"/>
      <c r="E20" s="25">
        <f>0.25*3.14*E19^2</f>
        <v>7.9132906250000001</v>
      </c>
      <c r="F20" s="16" t="s">
        <v>31</v>
      </c>
      <c r="G20" s="25">
        <f>0.25*3.14*G19^2</f>
        <v>7.9132906250000001</v>
      </c>
      <c r="H20" s="13">
        <f t="shared" si="0"/>
        <v>0</v>
      </c>
    </row>
    <row r="21" spans="1:8" ht="15" customHeight="1" x14ac:dyDescent="0.25">
      <c r="A21" s="154"/>
      <c r="B21" s="150"/>
      <c r="C21" s="26" t="s">
        <v>32</v>
      </c>
      <c r="D21" s="27" t="s">
        <v>33</v>
      </c>
      <c r="E21" s="28">
        <v>0.57999999999999996</v>
      </c>
      <c r="F21" s="29"/>
      <c r="G21" s="15">
        <v>0.57999999999999996</v>
      </c>
      <c r="H21" s="13">
        <f t="shared" si="0"/>
        <v>0</v>
      </c>
    </row>
    <row r="22" spans="1:8" ht="15" customHeight="1" x14ac:dyDescent="0.25">
      <c r="A22" s="154"/>
      <c r="B22" s="150"/>
      <c r="C22" s="21" t="s">
        <v>34</v>
      </c>
      <c r="D22" s="22"/>
      <c r="E22" s="25">
        <f>E21*1000*E14*E20/1000000</f>
        <v>4.5897085625E-2</v>
      </c>
      <c r="F22" s="16" t="s">
        <v>35</v>
      </c>
      <c r="G22" s="25">
        <f>G21*1000*G14*G20/1000000</f>
        <v>4.5897085625E-2</v>
      </c>
      <c r="H22" s="13">
        <f t="shared" si="0"/>
        <v>0</v>
      </c>
    </row>
    <row r="23" spans="1:8" ht="15" customHeight="1" x14ac:dyDescent="0.25">
      <c r="A23" s="154"/>
      <c r="B23" s="150"/>
      <c r="C23" s="30" t="s">
        <v>36</v>
      </c>
      <c r="D23" s="31" t="s">
        <v>37</v>
      </c>
      <c r="E23" s="32">
        <f>E22*E18</f>
        <v>2.4784426237499999</v>
      </c>
      <c r="F23" s="33" t="s">
        <v>35</v>
      </c>
      <c r="G23" s="25">
        <f>G22*G18</f>
        <v>2.4784426237499999</v>
      </c>
      <c r="H23" s="13">
        <f t="shared" si="0"/>
        <v>0</v>
      </c>
    </row>
    <row r="24" spans="1:8" ht="15" customHeight="1" x14ac:dyDescent="0.25">
      <c r="A24" s="154"/>
      <c r="B24" s="152" t="s">
        <v>118</v>
      </c>
      <c r="C24" s="26" t="s">
        <v>122</v>
      </c>
      <c r="D24" s="27"/>
      <c r="E24" s="28">
        <v>2.8</v>
      </c>
      <c r="F24" s="29" t="s">
        <v>58</v>
      </c>
      <c r="G24" s="15">
        <v>2.8</v>
      </c>
      <c r="H24" s="13">
        <f t="shared" si="0"/>
        <v>0</v>
      </c>
    </row>
    <row r="25" spans="1:8" ht="15" customHeight="1" x14ac:dyDescent="0.25">
      <c r="A25" s="154"/>
      <c r="B25" s="152" t="s">
        <v>118</v>
      </c>
      <c r="C25" s="71" t="s">
        <v>121</v>
      </c>
      <c r="D25" s="72" t="s">
        <v>126</v>
      </c>
      <c r="E25" s="73">
        <v>2.2000000000000002</v>
      </c>
      <c r="F25" s="74" t="s">
        <v>58</v>
      </c>
      <c r="G25" s="139">
        <v>2.2000000000000002</v>
      </c>
      <c r="H25" s="13">
        <f t="shared" si="0"/>
        <v>0</v>
      </c>
    </row>
    <row r="26" spans="1:8" ht="15" customHeight="1" x14ac:dyDescent="0.25">
      <c r="A26" s="154"/>
      <c r="B26" s="150"/>
      <c r="C26" s="47" t="s">
        <v>119</v>
      </c>
      <c r="D26" s="48"/>
      <c r="E26" s="49">
        <f>E24*E25</f>
        <v>6.16</v>
      </c>
      <c r="F26" s="50" t="s">
        <v>120</v>
      </c>
      <c r="G26" s="51">
        <f>G24*G25</f>
        <v>6.16</v>
      </c>
      <c r="H26" s="13">
        <f t="shared" si="0"/>
        <v>0</v>
      </c>
    </row>
    <row r="27" spans="1:8" ht="15.75" customHeight="1" x14ac:dyDescent="0.25">
      <c r="A27" s="154"/>
      <c r="B27" s="34"/>
      <c r="C27" s="124" t="s">
        <v>157</v>
      </c>
      <c r="D27" s="146"/>
      <c r="E27" s="147"/>
      <c r="F27" s="148"/>
      <c r="G27" s="145"/>
      <c r="H27" s="103"/>
    </row>
    <row r="28" spans="1:8" ht="15" customHeight="1" x14ac:dyDescent="0.25">
      <c r="A28" s="154"/>
      <c r="B28" s="150"/>
      <c r="C28" s="9" t="s">
        <v>38</v>
      </c>
      <c r="D28" s="10"/>
      <c r="E28" s="35">
        <v>1000</v>
      </c>
      <c r="F28" s="12" t="s">
        <v>39</v>
      </c>
      <c r="G28" s="137">
        <v>1000</v>
      </c>
      <c r="H28" s="13">
        <f t="shared" ref="H28:H55" si="1">G28-E28</f>
        <v>0</v>
      </c>
    </row>
    <row r="29" spans="1:8" ht="15" customHeight="1" x14ac:dyDescent="0.25">
      <c r="A29" s="154"/>
      <c r="B29" s="150"/>
      <c r="C29" s="9" t="s">
        <v>40</v>
      </c>
      <c r="D29" s="10" t="s">
        <v>41</v>
      </c>
      <c r="E29" s="35">
        <v>25</v>
      </c>
      <c r="F29" s="12" t="s">
        <v>42</v>
      </c>
      <c r="G29" s="137">
        <v>25</v>
      </c>
      <c r="H29" s="13">
        <f t="shared" si="1"/>
        <v>0</v>
      </c>
    </row>
    <row r="30" spans="1:8" ht="15" customHeight="1" x14ac:dyDescent="0.25">
      <c r="A30" s="154"/>
      <c r="B30" s="150"/>
      <c r="C30" s="36" t="s">
        <v>43</v>
      </c>
      <c r="D30" s="37" t="s">
        <v>44</v>
      </c>
      <c r="E30" s="38">
        <v>101.33</v>
      </c>
      <c r="F30" s="39" t="s">
        <v>45</v>
      </c>
      <c r="G30" s="138">
        <v>101.33</v>
      </c>
      <c r="H30" s="13">
        <f t="shared" si="1"/>
        <v>0</v>
      </c>
    </row>
    <row r="31" spans="1:8" ht="15" customHeight="1" x14ac:dyDescent="0.25">
      <c r="A31" s="154"/>
      <c r="B31" s="150"/>
      <c r="C31" s="21" t="s">
        <v>46</v>
      </c>
      <c r="D31" s="22"/>
      <c r="E31" s="25">
        <f>-9.81*28.97*E28/(8314*(273.15+E29))</f>
        <v>-0.11464963296434179</v>
      </c>
      <c r="F31" s="16"/>
      <c r="G31" s="25">
        <f>-9.81*28.97*G28/(8314*(273.15+G29))</f>
        <v>-0.11464963296434179</v>
      </c>
      <c r="H31" s="13">
        <f t="shared" si="1"/>
        <v>0</v>
      </c>
    </row>
    <row r="32" spans="1:8" ht="15" customHeight="1" x14ac:dyDescent="0.25">
      <c r="A32" s="154"/>
      <c r="B32" s="150"/>
      <c r="C32" s="21" t="s">
        <v>47</v>
      </c>
      <c r="D32" s="22" t="s">
        <v>48</v>
      </c>
      <c r="E32" s="25">
        <f>E30*EXP(E31)</f>
        <v>90.353782803986036</v>
      </c>
      <c r="F32" s="16" t="s">
        <v>45</v>
      </c>
      <c r="G32" s="25">
        <f>G30*EXP(G31)</f>
        <v>90.353782803986036</v>
      </c>
      <c r="H32" s="13">
        <f t="shared" si="1"/>
        <v>0</v>
      </c>
    </row>
    <row r="33" spans="1:8" ht="15" customHeight="1" x14ac:dyDescent="0.25">
      <c r="A33" s="154"/>
      <c r="B33" s="150"/>
      <c r="C33" s="71" t="s">
        <v>49</v>
      </c>
      <c r="D33" s="72"/>
      <c r="E33" s="73">
        <v>0</v>
      </c>
      <c r="F33" s="74" t="s">
        <v>50</v>
      </c>
      <c r="G33" s="139">
        <v>0</v>
      </c>
      <c r="H33" s="13">
        <f t="shared" si="1"/>
        <v>0</v>
      </c>
    </row>
    <row r="34" spans="1:8" ht="15" customHeight="1" x14ac:dyDescent="0.35">
      <c r="A34" s="154"/>
      <c r="B34" s="150" t="s">
        <v>117</v>
      </c>
      <c r="C34" s="40" t="s">
        <v>51</v>
      </c>
      <c r="D34" s="41" t="s">
        <v>52</v>
      </c>
      <c r="E34" s="42">
        <f>VLOOKUP(ROUND(E29,0),'Agua-T°C'!B6:G46,6)</f>
        <v>8.24</v>
      </c>
      <c r="F34" s="43" t="s">
        <v>14</v>
      </c>
      <c r="G34" s="139">
        <f>VLOOKUP(ROUND(G29,0),'Agua-T°C'!B6:G46,6)</f>
        <v>8.24</v>
      </c>
      <c r="H34" s="13">
        <f t="shared" si="1"/>
        <v>0</v>
      </c>
    </row>
    <row r="35" spans="1:8" ht="15" customHeight="1" x14ac:dyDescent="0.35">
      <c r="A35" s="154"/>
      <c r="B35" s="150"/>
      <c r="C35" s="117" t="s">
        <v>53</v>
      </c>
      <c r="D35" s="44" t="s">
        <v>54</v>
      </c>
      <c r="E35" s="45">
        <f>E34*EXP(E31)</f>
        <v>7.3474308724449315</v>
      </c>
      <c r="F35" s="46" t="s">
        <v>14</v>
      </c>
      <c r="G35" s="139">
        <f>G34*EXP(G31)</f>
        <v>7.3474308724449315</v>
      </c>
      <c r="H35" s="13">
        <f t="shared" si="1"/>
        <v>0</v>
      </c>
    </row>
    <row r="36" spans="1:8" ht="15" customHeight="1" x14ac:dyDescent="0.25">
      <c r="A36" s="154"/>
      <c r="B36" s="152" t="s">
        <v>55</v>
      </c>
      <c r="C36" s="47" t="s">
        <v>56</v>
      </c>
      <c r="D36" s="48" t="s">
        <v>57</v>
      </c>
      <c r="E36" s="49">
        <f>2.52*(E14*E19/1000)^0.66</f>
        <v>0.25855408415491049</v>
      </c>
      <c r="F36" s="50" t="s">
        <v>58</v>
      </c>
      <c r="G36" s="51">
        <f>2.52*(G14*G19/1000)^0.66</f>
        <v>0.25855408415491049</v>
      </c>
      <c r="H36" s="13">
        <f>G36-E36</f>
        <v>0</v>
      </c>
    </row>
    <row r="37" spans="1:8" ht="15" customHeight="1" x14ac:dyDescent="0.25">
      <c r="A37" s="154"/>
      <c r="B37" s="151" t="s">
        <v>15</v>
      </c>
      <c r="C37" s="71" t="s">
        <v>59</v>
      </c>
      <c r="D37" s="72" t="s">
        <v>60</v>
      </c>
      <c r="E37" s="73">
        <v>0.3</v>
      </c>
      <c r="F37" s="74" t="s">
        <v>58</v>
      </c>
      <c r="G37" s="139">
        <v>0.3</v>
      </c>
      <c r="H37" s="13">
        <f t="shared" si="1"/>
        <v>0</v>
      </c>
    </row>
    <row r="38" spans="1:8" ht="15" customHeight="1" x14ac:dyDescent="0.25">
      <c r="A38" s="125"/>
      <c r="B38" s="126"/>
      <c r="C38" s="52" t="s">
        <v>61</v>
      </c>
      <c r="D38" s="53" t="s">
        <v>62</v>
      </c>
      <c r="E38" s="54">
        <f>E36+E37</f>
        <v>0.55855408415491048</v>
      </c>
      <c r="F38" s="55" t="s">
        <v>58</v>
      </c>
      <c r="G38" s="155">
        <f>G36+G37</f>
        <v>0.55855408415491048</v>
      </c>
      <c r="H38" s="13">
        <f t="shared" si="1"/>
        <v>0</v>
      </c>
    </row>
    <row r="39" spans="1:8" ht="15" customHeight="1" x14ac:dyDescent="0.25">
      <c r="A39" s="144"/>
      <c r="B39" s="130"/>
      <c r="C39" s="118"/>
      <c r="D39" s="56"/>
      <c r="E39" s="57">
        <f>E38*9.8</f>
        <v>5.4738300247181231</v>
      </c>
      <c r="F39" s="58" t="s">
        <v>45</v>
      </c>
      <c r="G39" s="140">
        <f>G38*9.8</f>
        <v>5.4738300247181231</v>
      </c>
      <c r="H39" s="13">
        <f t="shared" si="1"/>
        <v>0</v>
      </c>
    </row>
    <row r="40" spans="1:8" ht="15" customHeight="1" x14ac:dyDescent="0.25">
      <c r="A40" s="154"/>
      <c r="B40" s="152" t="s">
        <v>63</v>
      </c>
      <c r="C40" s="59" t="s">
        <v>64</v>
      </c>
      <c r="D40" s="60" t="s">
        <v>65</v>
      </c>
      <c r="E40" s="51">
        <f>E35*(E32+E39/2)/E32</f>
        <v>7.5699925985066976</v>
      </c>
      <c r="F40" s="61" t="s">
        <v>14</v>
      </c>
      <c r="G40" s="51">
        <f>G35*(G32+G39/2)/G32</f>
        <v>7.5699925985066976</v>
      </c>
      <c r="H40" s="13">
        <f t="shared" si="1"/>
        <v>0</v>
      </c>
    </row>
    <row r="41" spans="1:8" ht="15" customHeight="1" x14ac:dyDescent="0.25">
      <c r="A41" s="154"/>
      <c r="B41" s="150" t="s">
        <v>117</v>
      </c>
      <c r="C41" s="62" t="s">
        <v>66</v>
      </c>
      <c r="D41" s="63" t="s">
        <v>67</v>
      </c>
      <c r="E41" s="64">
        <f>'Agua-T°C'!G26</f>
        <v>9.08</v>
      </c>
      <c r="F41" s="65" t="s">
        <v>14</v>
      </c>
      <c r="G41" s="66">
        <f>'Agua-T°C'!G26</f>
        <v>9.08</v>
      </c>
      <c r="H41" s="13">
        <f t="shared" si="1"/>
        <v>0</v>
      </c>
    </row>
    <row r="42" spans="1:8" ht="15" customHeight="1" x14ac:dyDescent="0.25">
      <c r="A42" s="154"/>
      <c r="B42" s="150" t="s">
        <v>68</v>
      </c>
      <c r="C42" s="67" t="s">
        <v>69</v>
      </c>
      <c r="D42" s="68" t="s">
        <v>70</v>
      </c>
      <c r="E42" s="69">
        <f>9.81*0.001*E22*E15</f>
        <v>2.297195969292092E-3</v>
      </c>
      <c r="F42" s="70" t="s">
        <v>71</v>
      </c>
      <c r="G42" s="141">
        <f>9.81*0.001*G22*G15</f>
        <v>2.297195969292092E-3</v>
      </c>
      <c r="H42" s="13">
        <f t="shared" si="1"/>
        <v>0</v>
      </c>
    </row>
    <row r="43" spans="1:8" ht="15" customHeight="1" x14ac:dyDescent="0.25">
      <c r="A43" s="154"/>
      <c r="B43" s="150" t="s">
        <v>72</v>
      </c>
      <c r="C43" s="71" t="s">
        <v>123</v>
      </c>
      <c r="D43" s="72" t="s">
        <v>127</v>
      </c>
      <c r="E43" s="73">
        <v>0.3</v>
      </c>
      <c r="F43" s="74" t="s">
        <v>58</v>
      </c>
      <c r="G43" s="139">
        <v>0.3</v>
      </c>
      <c r="H43" s="13">
        <f t="shared" si="1"/>
        <v>0</v>
      </c>
    </row>
    <row r="44" spans="1:8" ht="15" customHeight="1" x14ac:dyDescent="0.25">
      <c r="A44" s="154"/>
      <c r="B44" s="152" t="s">
        <v>73</v>
      </c>
      <c r="C44" s="78" t="s">
        <v>160</v>
      </c>
      <c r="D44" s="75" t="s">
        <v>74</v>
      </c>
      <c r="E44" s="157">
        <f>1.89*(E42^-0.29)*((0.001*E19)^0.2)*(E43^0.2)</f>
        <v>2.738339983931136</v>
      </c>
      <c r="F44" s="79" t="s">
        <v>75</v>
      </c>
      <c r="G44" s="66">
        <f>1.89*(G42^-0.29)*((0.001*G19)^0.2)*(G43^0.2)</f>
        <v>2.738339983931136</v>
      </c>
      <c r="H44" s="156">
        <f t="shared" si="1"/>
        <v>0</v>
      </c>
    </row>
    <row r="45" spans="1:8" ht="15" customHeight="1" x14ac:dyDescent="0.25">
      <c r="A45" s="154"/>
      <c r="B45" s="152" t="s">
        <v>125</v>
      </c>
      <c r="C45" s="78" t="s">
        <v>159</v>
      </c>
      <c r="D45" s="75" t="s">
        <v>90</v>
      </c>
      <c r="E45" s="80">
        <f>E44*E42</f>
        <v>6.2905035736379776E-3</v>
      </c>
      <c r="F45" s="79" t="s">
        <v>91</v>
      </c>
      <c r="G45" s="142">
        <f>G44*G42</f>
        <v>6.2905035736379776E-3</v>
      </c>
      <c r="H45" s="156">
        <f t="shared" si="1"/>
        <v>0</v>
      </c>
    </row>
    <row r="46" spans="1:8" ht="15" customHeight="1" x14ac:dyDescent="0.25">
      <c r="A46" s="154"/>
      <c r="B46" s="152" t="s">
        <v>92</v>
      </c>
      <c r="C46" s="36" t="s">
        <v>93</v>
      </c>
      <c r="D46" s="37" t="s">
        <v>94</v>
      </c>
      <c r="E46" s="38">
        <v>0.95</v>
      </c>
      <c r="F46" s="39"/>
      <c r="G46" s="138">
        <v>0.95</v>
      </c>
      <c r="H46" s="13">
        <f t="shared" si="1"/>
        <v>0</v>
      </c>
    </row>
    <row r="47" spans="1:8" ht="15" customHeight="1" x14ac:dyDescent="0.25">
      <c r="A47" s="154"/>
      <c r="B47" s="152" t="s">
        <v>124</v>
      </c>
      <c r="C47" s="36" t="s">
        <v>95</v>
      </c>
      <c r="D47" s="81" t="s">
        <v>96</v>
      </c>
      <c r="E47" s="82">
        <v>0.95</v>
      </c>
      <c r="F47" s="83"/>
      <c r="G47" s="143">
        <v>0.95</v>
      </c>
      <c r="H47" s="13">
        <f t="shared" si="1"/>
        <v>0</v>
      </c>
    </row>
    <row r="48" spans="1:8" ht="15" customHeight="1" x14ac:dyDescent="0.25">
      <c r="A48" s="154"/>
      <c r="B48" s="152" t="s">
        <v>97</v>
      </c>
      <c r="C48" s="84" t="s">
        <v>98</v>
      </c>
      <c r="D48" s="14" t="s">
        <v>99</v>
      </c>
      <c r="E48" s="25">
        <f>E47*(E46*E40-E13)*(1.024^(E29-20))/E41</f>
        <v>0.49374906010070552</v>
      </c>
      <c r="F48" s="85"/>
      <c r="G48" s="25">
        <f>G47*(G46*G40-G13)*(1.024^(G29-20))/G41</f>
        <v>0.49374906010070552</v>
      </c>
      <c r="H48" s="13">
        <f t="shared" si="1"/>
        <v>0</v>
      </c>
    </row>
    <row r="49" spans="1:8" ht="15" customHeight="1" x14ac:dyDescent="0.25">
      <c r="A49" s="154"/>
      <c r="B49" s="152" t="s">
        <v>100</v>
      </c>
      <c r="C49" s="6" t="s">
        <v>101</v>
      </c>
      <c r="D49" s="86" t="s">
        <v>102</v>
      </c>
      <c r="E49" s="76">
        <f>E18*E45*E48</f>
        <v>0.16772023226036956</v>
      </c>
      <c r="F49" s="77" t="s">
        <v>103</v>
      </c>
      <c r="G49" s="139">
        <f>G18*G45*G48</f>
        <v>0.16772023226036956</v>
      </c>
      <c r="H49" s="13">
        <f t="shared" si="1"/>
        <v>0</v>
      </c>
    </row>
    <row r="50" spans="1:8" ht="15" customHeight="1" x14ac:dyDescent="0.25">
      <c r="A50" s="154"/>
      <c r="B50" s="153" t="s">
        <v>76</v>
      </c>
      <c r="C50" s="107" t="s">
        <v>77</v>
      </c>
      <c r="D50" s="60" t="s">
        <v>78</v>
      </c>
      <c r="E50" s="66">
        <f>E14/(9.8*0.001*E19)^0.5</f>
        <v>56.691127866610358</v>
      </c>
      <c r="F50" s="90"/>
      <c r="G50" s="66">
        <f>G14/(9.8*0.001*G19)^0.5</f>
        <v>56.691127866610358</v>
      </c>
      <c r="H50" s="13">
        <f t="shared" si="1"/>
        <v>0</v>
      </c>
    </row>
    <row r="51" spans="1:8" ht="15" customHeight="1" x14ac:dyDescent="0.25">
      <c r="A51" s="154"/>
      <c r="B51" s="153" t="s">
        <v>79</v>
      </c>
      <c r="C51" s="119" t="s">
        <v>80</v>
      </c>
      <c r="D51" s="60" t="s">
        <v>81</v>
      </c>
      <c r="E51" s="51">
        <f>0.04*E50^0.28*(E43/(0.001*E19))^0.4</f>
        <v>0.7641792282553711</v>
      </c>
      <c r="F51" s="90"/>
      <c r="G51" s="51">
        <f>0.04*G50^0.28*(G43/(0.001*G19))^0.4</f>
        <v>0.7641792282553711</v>
      </c>
      <c r="H51" s="13">
        <f t="shared" si="1"/>
        <v>0</v>
      </c>
    </row>
    <row r="52" spans="1:8" ht="15" customHeight="1" x14ac:dyDescent="0.25">
      <c r="A52" s="154"/>
      <c r="B52" s="153"/>
      <c r="C52" s="131" t="s">
        <v>82</v>
      </c>
      <c r="D52" s="132"/>
      <c r="E52" s="133">
        <f>3.6*E51*E23</f>
        <v>6.8183077373729715</v>
      </c>
      <c r="F52" s="134" t="s">
        <v>83</v>
      </c>
      <c r="G52" s="139">
        <f>3.6*G51*G23</f>
        <v>6.8183077373729715</v>
      </c>
      <c r="H52" s="13">
        <f t="shared" si="1"/>
        <v>0</v>
      </c>
    </row>
    <row r="53" spans="1:8" ht="15" customHeight="1" x14ac:dyDescent="0.25">
      <c r="A53" s="154"/>
      <c r="B53" s="153"/>
      <c r="C53" s="6" t="s">
        <v>84</v>
      </c>
      <c r="D53" s="159" t="str">
        <f>IF(E53&gt;0.18,"Cumple","No cumple")</f>
        <v>Cumple</v>
      </c>
      <c r="E53" s="76">
        <f>E52/E26</f>
        <v>1.1068681391839239</v>
      </c>
      <c r="F53" s="77" t="s">
        <v>156</v>
      </c>
      <c r="G53" s="139">
        <f>G52/G26</f>
        <v>1.1068681391839239</v>
      </c>
      <c r="H53" s="13">
        <f t="shared" si="1"/>
        <v>0</v>
      </c>
    </row>
    <row r="54" spans="1:8" ht="15" customHeight="1" x14ac:dyDescent="0.25">
      <c r="A54" s="154"/>
      <c r="B54" s="153"/>
      <c r="C54" s="105" t="s">
        <v>85</v>
      </c>
      <c r="D54" s="89"/>
      <c r="E54" s="106">
        <f>1000*E45/(3600*E23)</f>
        <v>7.0502423055672199E-4</v>
      </c>
      <c r="F54" s="90" t="s">
        <v>128</v>
      </c>
      <c r="G54" s="106">
        <f>1000*G45/(3600*G23)</f>
        <v>7.0502423055672199E-4</v>
      </c>
      <c r="H54" s="13">
        <f t="shared" si="1"/>
        <v>0</v>
      </c>
    </row>
    <row r="55" spans="1:8" ht="15" customHeight="1" x14ac:dyDescent="0.25">
      <c r="A55" s="154"/>
      <c r="B55" s="153" t="s">
        <v>86</v>
      </c>
      <c r="C55" s="131" t="s">
        <v>87</v>
      </c>
      <c r="D55" s="132" t="s">
        <v>88</v>
      </c>
      <c r="E55" s="133">
        <f>1000*E54/(E40-E13)</f>
        <v>0.15427251037279524</v>
      </c>
      <c r="F55" s="134" t="s">
        <v>89</v>
      </c>
      <c r="G55" s="139">
        <f>1000*G54/(G40-G13)</f>
        <v>0.15427251037279524</v>
      </c>
      <c r="H55" s="13">
        <f t="shared" si="1"/>
        <v>0</v>
      </c>
    </row>
    <row r="56" spans="1:8" ht="15" customHeight="1" x14ac:dyDescent="0.25">
      <c r="B56" s="34"/>
      <c r="C56" s="91"/>
      <c r="D56" s="92"/>
      <c r="E56" s="87"/>
      <c r="F56" s="93"/>
      <c r="G56" s="87"/>
      <c r="H56" s="88"/>
    </row>
    <row r="57" spans="1:8" ht="15" customHeight="1" x14ac:dyDescent="0.25">
      <c r="B57" s="34"/>
      <c r="C57" s="168" t="s">
        <v>129</v>
      </c>
      <c r="D57" s="169"/>
      <c r="G57" s="87"/>
      <c r="H57" s="88"/>
    </row>
    <row r="58" spans="1:8" ht="15" customHeight="1" x14ac:dyDescent="0.25">
      <c r="B58" s="34"/>
      <c r="C58" s="163" t="s">
        <v>130</v>
      </c>
      <c r="D58" s="167"/>
      <c r="E58" s="164"/>
      <c r="F58" s="164"/>
      <c r="G58" s="87"/>
      <c r="H58" s="88"/>
    </row>
    <row r="59" spans="1:8" ht="15" customHeight="1" x14ac:dyDescent="0.25">
      <c r="B59" s="34"/>
      <c r="C59" s="163" t="s">
        <v>131</v>
      </c>
      <c r="D59" s="167"/>
      <c r="E59" s="164"/>
      <c r="F59" s="164"/>
      <c r="G59" s="87"/>
      <c r="H59" s="88"/>
    </row>
    <row r="60" spans="1:8" ht="15" customHeight="1" x14ac:dyDescent="0.25">
      <c r="B60" s="34"/>
      <c r="C60" s="163" t="s">
        <v>132</v>
      </c>
      <c r="D60" s="165"/>
      <c r="E60" s="165"/>
      <c r="F60" s="165"/>
      <c r="G60" s="87"/>
      <c r="H60" s="88"/>
    </row>
    <row r="61" spans="1:8" ht="15" customHeight="1" x14ac:dyDescent="0.25">
      <c r="B61" s="34"/>
      <c r="C61" s="163" t="s">
        <v>133</v>
      </c>
      <c r="D61" s="167"/>
      <c r="E61" s="164"/>
      <c r="F61" s="164"/>
      <c r="G61" s="87"/>
      <c r="H61" s="88"/>
    </row>
    <row r="62" spans="1:8" ht="15" customHeight="1" x14ac:dyDescent="0.25">
      <c r="B62" s="34"/>
      <c r="C62" s="163" t="s">
        <v>134</v>
      </c>
      <c r="D62" s="167"/>
      <c r="E62" s="164"/>
      <c r="F62" s="164"/>
      <c r="G62" s="87"/>
      <c r="H62" s="88"/>
    </row>
    <row r="63" spans="1:8" ht="15" customHeight="1" x14ac:dyDescent="0.25">
      <c r="B63" s="34"/>
      <c r="C63" s="163" t="s">
        <v>154</v>
      </c>
      <c r="D63" s="164"/>
      <c r="E63" s="164"/>
      <c r="F63" s="164"/>
      <c r="G63" s="87"/>
      <c r="H63" s="88"/>
    </row>
    <row r="64" spans="1:8" ht="15" customHeight="1" x14ac:dyDescent="0.25">
      <c r="B64" s="34"/>
      <c r="C64" s="163" t="s">
        <v>135</v>
      </c>
      <c r="D64" s="164"/>
      <c r="E64" s="164"/>
      <c r="F64" s="164"/>
      <c r="G64" s="87"/>
      <c r="H64" s="88"/>
    </row>
    <row r="65" spans="2:8" ht="15" customHeight="1" x14ac:dyDescent="0.25">
      <c r="B65" s="34"/>
      <c r="C65" s="163" t="s">
        <v>136</v>
      </c>
      <c r="D65" s="164"/>
      <c r="E65" s="164"/>
      <c r="F65" s="164"/>
      <c r="G65" s="87"/>
      <c r="H65" s="88"/>
    </row>
    <row r="66" spans="2:8" ht="15" customHeight="1" x14ac:dyDescent="0.25">
      <c r="B66" s="34"/>
      <c r="C66" s="163" t="s">
        <v>137</v>
      </c>
      <c r="D66" s="164"/>
      <c r="E66" s="164"/>
      <c r="F66" s="164"/>
      <c r="G66" s="87"/>
      <c r="H66" s="88"/>
    </row>
    <row r="67" spans="2:8" ht="15" customHeight="1" x14ac:dyDescent="0.25">
      <c r="B67" s="34"/>
      <c r="C67" s="163" t="s">
        <v>138</v>
      </c>
      <c r="D67" s="164"/>
      <c r="E67" s="164"/>
      <c r="F67" s="164"/>
      <c r="G67" s="87"/>
      <c r="H67" s="88"/>
    </row>
    <row r="68" spans="2:8" ht="15" customHeight="1" x14ac:dyDescent="0.25">
      <c r="B68" s="34"/>
      <c r="C68" s="163" t="s">
        <v>139</v>
      </c>
      <c r="D68" s="164"/>
      <c r="E68" s="164"/>
      <c r="F68" s="164"/>
      <c r="G68" s="87"/>
      <c r="H68" s="88"/>
    </row>
    <row r="69" spans="2:8" ht="15" customHeight="1" x14ac:dyDescent="0.25">
      <c r="B69" s="34"/>
      <c r="C69" s="163" t="s">
        <v>155</v>
      </c>
      <c r="D69" s="164"/>
      <c r="E69" s="164"/>
      <c r="F69" s="164"/>
      <c r="G69" s="87"/>
      <c r="H69" s="88"/>
    </row>
    <row r="70" spans="2:8" ht="15" customHeight="1" x14ac:dyDescent="0.25">
      <c r="B70" s="34"/>
      <c r="C70" s="163" t="s">
        <v>140</v>
      </c>
      <c r="D70" s="164"/>
      <c r="E70" s="164"/>
      <c r="F70" s="164"/>
      <c r="G70" s="87"/>
      <c r="H70" s="88"/>
    </row>
    <row r="71" spans="2:8" ht="15" customHeight="1" x14ac:dyDescent="0.25">
      <c r="C71" s="163" t="s">
        <v>141</v>
      </c>
      <c r="D71" s="164"/>
      <c r="E71" s="164"/>
      <c r="F71" s="164"/>
    </row>
    <row r="72" spans="2:8" ht="15" customHeight="1" x14ac:dyDescent="0.25">
      <c r="C72" s="163" t="s">
        <v>142</v>
      </c>
      <c r="D72" s="165"/>
      <c r="E72" s="165"/>
      <c r="F72" s="165"/>
    </row>
    <row r="73" spans="2:8" ht="15" customHeight="1" x14ac:dyDescent="0.25">
      <c r="C73" s="160" t="s">
        <v>143</v>
      </c>
      <c r="D73" s="160"/>
      <c r="E73" s="160"/>
      <c r="F73" s="160"/>
    </row>
    <row r="74" spans="2:8" ht="15" customHeight="1" x14ac:dyDescent="0.25">
      <c r="C74" s="160" t="s">
        <v>144</v>
      </c>
      <c r="D74" s="166"/>
      <c r="E74" s="166"/>
      <c r="F74" s="166"/>
    </row>
    <row r="75" spans="2:8" ht="15" customHeight="1" x14ac:dyDescent="0.25">
      <c r="C75" s="160" t="s">
        <v>145</v>
      </c>
      <c r="D75" s="161"/>
      <c r="E75" s="162"/>
      <c r="F75" s="162"/>
    </row>
    <row r="76" spans="2:8" ht="15" customHeight="1" x14ac:dyDescent="0.25">
      <c r="C76" s="160" t="s">
        <v>146</v>
      </c>
      <c r="D76" s="161"/>
      <c r="E76" s="162"/>
      <c r="F76" s="162"/>
    </row>
    <row r="77" spans="2:8" ht="15" customHeight="1" x14ac:dyDescent="0.25">
      <c r="C77" s="160" t="s">
        <v>147</v>
      </c>
      <c r="D77" s="164"/>
      <c r="E77" s="164"/>
      <c r="F77" s="164"/>
    </row>
    <row r="78" spans="2:8" ht="15" customHeight="1" x14ac:dyDescent="0.25">
      <c r="C78" s="160" t="s">
        <v>148</v>
      </c>
      <c r="D78" s="162"/>
      <c r="E78" s="162"/>
      <c r="F78" s="162"/>
    </row>
    <row r="79" spans="2:8" x14ac:dyDescent="0.25">
      <c r="C79" s="160" t="s">
        <v>149</v>
      </c>
      <c r="D79" s="161"/>
      <c r="E79" s="162"/>
      <c r="F79" s="162"/>
    </row>
  </sheetData>
  <mergeCells count="23">
    <mergeCell ref="C57:D57"/>
    <mergeCell ref="C58:F58"/>
    <mergeCell ref="C59:F59"/>
    <mergeCell ref="C60:F60"/>
    <mergeCell ref="C61:F61"/>
    <mergeCell ref="C62:F62"/>
    <mergeCell ref="C63:F63"/>
    <mergeCell ref="C64:F64"/>
    <mergeCell ref="C65:F65"/>
    <mergeCell ref="C66:F66"/>
    <mergeCell ref="C79:F79"/>
    <mergeCell ref="C67:F67"/>
    <mergeCell ref="C68:F68"/>
    <mergeCell ref="C69:F69"/>
    <mergeCell ref="C70:F70"/>
    <mergeCell ref="C71:F71"/>
    <mergeCell ref="C77:F77"/>
    <mergeCell ref="C78:F78"/>
    <mergeCell ref="C72:F72"/>
    <mergeCell ref="C73:F73"/>
    <mergeCell ref="C74:F74"/>
    <mergeCell ref="C75:F75"/>
    <mergeCell ref="C76:F7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BF413-868B-4B65-BA5E-5A315A720750}">
  <dimension ref="B3:I48"/>
  <sheetViews>
    <sheetView showGridLines="0" zoomScale="75" zoomScaleNormal="75" workbookViewId="0">
      <selection activeCell="D4" sqref="D4:D5"/>
    </sheetView>
  </sheetViews>
  <sheetFormatPr baseColWidth="10" defaultRowHeight="15" x14ac:dyDescent="0.25"/>
  <cols>
    <col min="2" max="3" width="13.42578125" customWidth="1"/>
    <col min="4" max="4" width="12.85546875" customWidth="1"/>
    <col min="5" max="5" width="14.140625" style="104" customWidth="1"/>
    <col min="7" max="8" width="13" customWidth="1"/>
    <col min="9" max="9" width="13.28515625" customWidth="1"/>
  </cols>
  <sheetData>
    <row r="3" spans="2:9" ht="32.25" x14ac:dyDescent="0.25">
      <c r="B3" s="94" t="s">
        <v>104</v>
      </c>
      <c r="C3" s="94" t="s">
        <v>105</v>
      </c>
      <c r="D3" s="94" t="s">
        <v>106</v>
      </c>
      <c r="E3" s="94" t="s">
        <v>107</v>
      </c>
      <c r="F3" s="94" t="s">
        <v>108</v>
      </c>
      <c r="G3" s="179" t="s">
        <v>109</v>
      </c>
      <c r="H3" s="180"/>
      <c r="I3" s="181"/>
    </row>
    <row r="4" spans="2:9" x14ac:dyDescent="0.25">
      <c r="B4" s="182" t="s">
        <v>110</v>
      </c>
      <c r="C4" s="182" t="s">
        <v>111</v>
      </c>
      <c r="D4" s="182" t="s">
        <v>152</v>
      </c>
      <c r="E4" s="182" t="s">
        <v>112</v>
      </c>
      <c r="F4" s="182" t="s">
        <v>45</v>
      </c>
      <c r="G4" s="179" t="s">
        <v>113</v>
      </c>
      <c r="H4" s="184"/>
      <c r="I4" s="181"/>
    </row>
    <row r="5" spans="2:9" x14ac:dyDescent="0.25">
      <c r="B5" s="183"/>
      <c r="C5" s="183"/>
      <c r="D5" s="183"/>
      <c r="E5" s="183"/>
      <c r="F5" s="183"/>
      <c r="G5" s="95">
        <v>0</v>
      </c>
      <c r="H5" s="95">
        <v>5</v>
      </c>
      <c r="I5" s="95">
        <v>10</v>
      </c>
    </row>
    <row r="6" spans="2:9" x14ac:dyDescent="0.25">
      <c r="B6" s="96">
        <v>0</v>
      </c>
      <c r="C6" s="97">
        <v>999.82</v>
      </c>
      <c r="D6" s="98">
        <v>1.792E-3</v>
      </c>
      <c r="E6" s="99">
        <f>D6/C6</f>
        <v>1.7923226180712527E-6</v>
      </c>
      <c r="F6" s="97">
        <v>0.61099999999999999</v>
      </c>
      <c r="G6" s="97">
        <v>14.6</v>
      </c>
      <c r="H6" s="97">
        <v>14.11</v>
      </c>
      <c r="I6" s="97">
        <v>13.64</v>
      </c>
    </row>
    <row r="7" spans="2:9" x14ac:dyDescent="0.25">
      <c r="B7" s="96">
        <f>B6+1</f>
        <v>1</v>
      </c>
      <c r="C7" s="97">
        <v>999.89</v>
      </c>
      <c r="D7" s="98">
        <v>1.7309999999999999E-3</v>
      </c>
      <c r="E7" s="99">
        <f t="shared" ref="E7:E46" si="0">D7/C7</f>
        <v>1.7311904309474041E-6</v>
      </c>
      <c r="F7" s="97">
        <v>0.65700000000000003</v>
      </c>
      <c r="G7" s="97">
        <v>14.2</v>
      </c>
      <c r="H7" s="97">
        <v>13.73</v>
      </c>
      <c r="I7" s="97">
        <v>13.27</v>
      </c>
    </row>
    <row r="8" spans="2:9" x14ac:dyDescent="0.25">
      <c r="B8" s="96">
        <f t="shared" ref="B8:B46" si="1">B7+1</f>
        <v>2</v>
      </c>
      <c r="C8" s="97">
        <v>999.94</v>
      </c>
      <c r="D8" s="98">
        <v>1.6739999999999999E-3</v>
      </c>
      <c r="E8" s="99">
        <f t="shared" si="0"/>
        <v>1.6741004460267615E-6</v>
      </c>
      <c r="F8" s="97">
        <v>0.70499999999999996</v>
      </c>
      <c r="G8" s="97">
        <v>13.81</v>
      </c>
      <c r="H8" s="97">
        <v>13.36</v>
      </c>
      <c r="I8" s="97">
        <v>12.91</v>
      </c>
    </row>
    <row r="9" spans="2:9" x14ac:dyDescent="0.25">
      <c r="B9" s="96">
        <f t="shared" si="1"/>
        <v>3</v>
      </c>
      <c r="C9" s="97">
        <v>999.98</v>
      </c>
      <c r="D9" s="98">
        <v>1.6199999999999999E-3</v>
      </c>
      <c r="E9" s="99">
        <f t="shared" si="0"/>
        <v>1.6200324006480128E-6</v>
      </c>
      <c r="F9" s="97">
        <v>0.75700000000000001</v>
      </c>
      <c r="G9" s="97">
        <v>13.45</v>
      </c>
      <c r="H9" s="97">
        <v>13</v>
      </c>
      <c r="I9" s="97">
        <v>12.58</v>
      </c>
    </row>
    <row r="10" spans="2:9" x14ac:dyDescent="0.25">
      <c r="B10" s="96">
        <f t="shared" si="1"/>
        <v>4</v>
      </c>
      <c r="C10" s="97">
        <v>1000</v>
      </c>
      <c r="D10" s="98">
        <v>1.5690000000000001E-3</v>
      </c>
      <c r="E10" s="99">
        <f t="shared" si="0"/>
        <v>1.5690000000000001E-6</v>
      </c>
      <c r="F10" s="97">
        <v>0.81299999999999994</v>
      </c>
      <c r="G10" s="97">
        <v>13.09</v>
      </c>
      <c r="H10" s="97">
        <v>12.67</v>
      </c>
      <c r="I10" s="97">
        <v>12.25</v>
      </c>
    </row>
    <row r="11" spans="2:9" x14ac:dyDescent="0.25">
      <c r="B11" s="96">
        <f t="shared" si="1"/>
        <v>5</v>
      </c>
      <c r="C11" s="97">
        <v>1000</v>
      </c>
      <c r="D11" s="98">
        <v>1.5200000000000001E-3</v>
      </c>
      <c r="E11" s="99">
        <f t="shared" si="0"/>
        <v>1.5200000000000001E-6</v>
      </c>
      <c r="F11" s="97">
        <v>0.872</v>
      </c>
      <c r="G11" s="97">
        <v>12.76</v>
      </c>
      <c r="H11" s="97">
        <v>12.34</v>
      </c>
      <c r="I11" s="97">
        <v>11.94</v>
      </c>
    </row>
    <row r="12" spans="2:9" x14ac:dyDescent="0.25">
      <c r="B12" s="96">
        <f t="shared" si="1"/>
        <v>6</v>
      </c>
      <c r="C12" s="97">
        <v>999.99</v>
      </c>
      <c r="D12" s="98">
        <v>1.4729999999999999E-3</v>
      </c>
      <c r="E12" s="99">
        <f t="shared" si="0"/>
        <v>1.4730147301473013E-6</v>
      </c>
      <c r="F12" s="97">
        <v>0.93500000000000005</v>
      </c>
      <c r="G12" s="97">
        <v>12.44</v>
      </c>
      <c r="H12" s="97">
        <v>12.04</v>
      </c>
      <c r="I12" s="97">
        <v>11.65</v>
      </c>
    </row>
    <row r="13" spans="2:9" x14ac:dyDescent="0.25">
      <c r="B13" s="96">
        <f t="shared" si="1"/>
        <v>7</v>
      </c>
      <c r="C13" s="97">
        <v>999.96</v>
      </c>
      <c r="D13" s="98">
        <v>1.4289999999999999E-3</v>
      </c>
      <c r="E13" s="99">
        <f t="shared" si="0"/>
        <v>1.4290571622864914E-6</v>
      </c>
      <c r="F13" s="97">
        <v>1.0009999999999999</v>
      </c>
      <c r="G13" s="97">
        <v>12.13</v>
      </c>
      <c r="H13" s="97">
        <v>11.74</v>
      </c>
      <c r="I13" s="97">
        <v>11.37</v>
      </c>
    </row>
    <row r="14" spans="2:9" x14ac:dyDescent="0.25">
      <c r="B14" s="96">
        <f t="shared" si="1"/>
        <v>8</v>
      </c>
      <c r="C14" s="97">
        <v>999.91</v>
      </c>
      <c r="D14" s="98">
        <v>1.3860000000000001E-3</v>
      </c>
      <c r="E14" s="99">
        <f t="shared" si="0"/>
        <v>1.3861247512276105E-6</v>
      </c>
      <c r="F14" s="97">
        <v>1.0720000000000001</v>
      </c>
      <c r="G14" s="97">
        <v>11.83</v>
      </c>
      <c r="H14" s="97">
        <v>11.46</v>
      </c>
      <c r="I14" s="97">
        <v>11.09</v>
      </c>
    </row>
    <row r="15" spans="2:9" x14ac:dyDescent="0.25">
      <c r="B15" s="96">
        <f t="shared" si="1"/>
        <v>9</v>
      </c>
      <c r="C15" s="97">
        <v>999.85</v>
      </c>
      <c r="D15" s="98">
        <v>1.346E-3</v>
      </c>
      <c r="E15" s="99">
        <f t="shared" si="0"/>
        <v>1.3462019302895433E-6</v>
      </c>
      <c r="F15" s="97">
        <v>1.147</v>
      </c>
      <c r="G15" s="97">
        <v>11.55</v>
      </c>
      <c r="H15" s="97">
        <v>11.19</v>
      </c>
      <c r="I15" s="97">
        <v>10.83</v>
      </c>
    </row>
    <row r="16" spans="2:9" x14ac:dyDescent="0.25">
      <c r="B16" s="96">
        <f t="shared" si="1"/>
        <v>10</v>
      </c>
      <c r="C16" s="97">
        <v>999.77</v>
      </c>
      <c r="D16" s="98">
        <v>1.3079999999999999E-3</v>
      </c>
      <c r="E16" s="99">
        <f t="shared" si="0"/>
        <v>1.3083009092091181E-6</v>
      </c>
      <c r="F16" s="97">
        <v>1.2270000000000001</v>
      </c>
      <c r="G16" s="97">
        <v>11.28</v>
      </c>
      <c r="H16" s="97">
        <v>10.92</v>
      </c>
      <c r="I16" s="97">
        <v>10.58</v>
      </c>
    </row>
    <row r="17" spans="2:9" x14ac:dyDescent="0.25">
      <c r="B17" s="96">
        <f t="shared" si="1"/>
        <v>11</v>
      </c>
      <c r="C17" s="97">
        <v>999.68</v>
      </c>
      <c r="D17" s="98">
        <v>1.271E-3</v>
      </c>
      <c r="E17" s="99">
        <f t="shared" si="0"/>
        <v>1.2714068501920614E-6</v>
      </c>
      <c r="F17" s="97">
        <v>1.3120000000000001</v>
      </c>
      <c r="G17" s="97">
        <v>11.02</v>
      </c>
      <c r="H17" s="97">
        <v>10.67</v>
      </c>
      <c r="I17" s="97">
        <v>10.34</v>
      </c>
    </row>
    <row r="18" spans="2:9" x14ac:dyDescent="0.25">
      <c r="B18" s="96">
        <f t="shared" si="1"/>
        <v>12</v>
      </c>
      <c r="C18" s="97">
        <v>999.58</v>
      </c>
      <c r="D18" s="98">
        <v>1.2359999999999999E-3</v>
      </c>
      <c r="E18" s="99">
        <f t="shared" si="0"/>
        <v>1.2365193381220111E-6</v>
      </c>
      <c r="F18" s="97">
        <v>1.4019999999999999</v>
      </c>
      <c r="G18" s="97">
        <v>10.77</v>
      </c>
      <c r="H18" s="97">
        <v>10.43</v>
      </c>
      <c r="I18" s="97">
        <v>10.11</v>
      </c>
    </row>
    <row r="19" spans="2:9" x14ac:dyDescent="0.25">
      <c r="B19" s="96">
        <f t="shared" si="1"/>
        <v>13</v>
      </c>
      <c r="C19" s="97">
        <v>999.46</v>
      </c>
      <c r="D19" s="98">
        <v>1.2019999999999999E-3</v>
      </c>
      <c r="E19" s="99">
        <f t="shared" si="0"/>
        <v>1.2026494306925738E-6</v>
      </c>
      <c r="F19" s="97">
        <v>1.4970000000000001</v>
      </c>
      <c r="G19" s="97">
        <v>10.53</v>
      </c>
      <c r="H19" s="97">
        <v>10.199999999999999</v>
      </c>
      <c r="I19" s="97">
        <v>9.89</v>
      </c>
    </row>
    <row r="20" spans="2:9" x14ac:dyDescent="0.25">
      <c r="B20" s="96">
        <f t="shared" si="1"/>
        <v>14</v>
      </c>
      <c r="C20" s="97">
        <v>999.33</v>
      </c>
      <c r="D20" s="98">
        <v>1.17E-3</v>
      </c>
      <c r="E20" s="99">
        <f t="shared" si="0"/>
        <v>1.1707844255651285E-6</v>
      </c>
      <c r="F20" s="97">
        <v>1.597</v>
      </c>
      <c r="G20" s="97">
        <v>10.29</v>
      </c>
      <c r="H20" s="97">
        <v>9.98</v>
      </c>
      <c r="I20" s="97">
        <v>9.68</v>
      </c>
    </row>
    <row r="21" spans="2:9" x14ac:dyDescent="0.25">
      <c r="B21" s="96">
        <f t="shared" si="1"/>
        <v>15</v>
      </c>
      <c r="C21" s="97">
        <v>999.19</v>
      </c>
      <c r="D21" s="98">
        <v>1.139E-3</v>
      </c>
      <c r="E21" s="99">
        <f t="shared" si="0"/>
        <v>1.1399233379037019E-6</v>
      </c>
      <c r="F21" s="97">
        <v>1.704</v>
      </c>
      <c r="G21" s="97">
        <v>10.07</v>
      </c>
      <c r="H21" s="97">
        <v>9.77</v>
      </c>
      <c r="I21" s="97">
        <v>9.4700000000000006</v>
      </c>
    </row>
    <row r="22" spans="2:9" x14ac:dyDescent="0.25">
      <c r="B22" s="96">
        <f t="shared" si="1"/>
        <v>16</v>
      </c>
      <c r="C22" s="97">
        <v>999.03</v>
      </c>
      <c r="D22" s="98">
        <v>1.109E-3</v>
      </c>
      <c r="E22" s="99">
        <f t="shared" si="0"/>
        <v>1.110076774471237E-6</v>
      </c>
      <c r="F22" s="97">
        <v>1.8169999999999999</v>
      </c>
      <c r="G22" s="97">
        <v>9.86</v>
      </c>
      <c r="H22" s="97">
        <v>9.56</v>
      </c>
      <c r="I22" s="97">
        <v>9.2799999999999994</v>
      </c>
    </row>
    <row r="23" spans="2:9" x14ac:dyDescent="0.25">
      <c r="B23" s="96">
        <f t="shared" si="1"/>
        <v>17</v>
      </c>
      <c r="C23" s="97">
        <v>998.86</v>
      </c>
      <c r="D23" s="98">
        <v>1.0809999999999999E-3</v>
      </c>
      <c r="E23" s="99">
        <f t="shared" si="0"/>
        <v>1.0822337464709768E-6</v>
      </c>
      <c r="F23" s="97">
        <v>1.9359999999999999</v>
      </c>
      <c r="G23" s="97">
        <v>9.65</v>
      </c>
      <c r="H23" s="97">
        <v>9.36</v>
      </c>
      <c r="I23" s="97">
        <v>9.09</v>
      </c>
    </row>
    <row r="24" spans="2:9" x14ac:dyDescent="0.25">
      <c r="B24" s="96">
        <f t="shared" si="1"/>
        <v>18</v>
      </c>
      <c r="C24" s="97">
        <v>998.68</v>
      </c>
      <c r="D24" s="98">
        <v>1.054E-3</v>
      </c>
      <c r="E24" s="99">
        <f t="shared" si="0"/>
        <v>1.0553931189169705E-6</v>
      </c>
      <c r="F24" s="97">
        <v>2.0630000000000002</v>
      </c>
      <c r="G24" s="97">
        <v>9.4499999999999993</v>
      </c>
      <c r="H24" s="97">
        <v>9.17</v>
      </c>
      <c r="I24" s="97">
        <v>8.9</v>
      </c>
    </row>
    <row r="25" spans="2:9" x14ac:dyDescent="0.25">
      <c r="B25" s="96">
        <f t="shared" si="1"/>
        <v>19</v>
      </c>
      <c r="C25" s="97">
        <v>998.49</v>
      </c>
      <c r="D25" s="98">
        <v>1.0280000000000001E-3</v>
      </c>
      <c r="E25" s="99">
        <f t="shared" si="0"/>
        <v>1.0295546274875061E-6</v>
      </c>
      <c r="F25" s="97">
        <v>2.1960000000000002</v>
      </c>
      <c r="G25" s="97">
        <v>9.26</v>
      </c>
      <c r="H25" s="97">
        <v>8.99</v>
      </c>
      <c r="I25" s="97">
        <v>8.73</v>
      </c>
    </row>
    <row r="26" spans="2:9" x14ac:dyDescent="0.25">
      <c r="B26" s="96">
        <f t="shared" si="1"/>
        <v>20</v>
      </c>
      <c r="C26" s="97">
        <v>998.29</v>
      </c>
      <c r="D26" s="98">
        <v>1.003E-3</v>
      </c>
      <c r="E26" s="99">
        <f t="shared" si="0"/>
        <v>1.0047180678961023E-6</v>
      </c>
      <c r="F26" s="97">
        <v>2.3370000000000002</v>
      </c>
      <c r="G26" s="97">
        <v>9.08</v>
      </c>
      <c r="H26" s="97">
        <v>8.81</v>
      </c>
      <c r="I26" s="97">
        <v>8.56</v>
      </c>
    </row>
    <row r="27" spans="2:9" x14ac:dyDescent="0.25">
      <c r="B27" s="96">
        <f t="shared" si="1"/>
        <v>21</v>
      </c>
      <c r="C27" s="97">
        <v>998.08</v>
      </c>
      <c r="D27" s="98">
        <v>9.7900000000000005E-4</v>
      </c>
      <c r="E27" s="99">
        <f t="shared" si="0"/>
        <v>9.8088329592818217E-7</v>
      </c>
      <c r="F27" s="97">
        <v>2.4860000000000002</v>
      </c>
      <c r="G27" s="97">
        <v>8.9</v>
      </c>
      <c r="H27" s="97">
        <v>8.64</v>
      </c>
      <c r="I27" s="97">
        <v>8.39</v>
      </c>
    </row>
    <row r="28" spans="2:9" x14ac:dyDescent="0.25">
      <c r="B28" s="96">
        <f t="shared" si="1"/>
        <v>22</v>
      </c>
      <c r="C28" s="97">
        <v>997.86</v>
      </c>
      <c r="D28" s="98">
        <v>9.5500000000000001E-4</v>
      </c>
      <c r="E28" s="99">
        <f t="shared" si="0"/>
        <v>9.5704808289740053E-7</v>
      </c>
      <c r="F28" s="97">
        <v>2.6419999999999999</v>
      </c>
      <c r="G28" s="97">
        <v>8.73</v>
      </c>
      <c r="H28" s="97">
        <v>8.48</v>
      </c>
      <c r="I28" s="97">
        <v>8.23</v>
      </c>
    </row>
    <row r="29" spans="2:9" x14ac:dyDescent="0.25">
      <c r="B29" s="96">
        <f t="shared" si="1"/>
        <v>23</v>
      </c>
      <c r="C29" s="97">
        <v>997.62</v>
      </c>
      <c r="D29" s="98">
        <v>9.3300000000000002E-4</v>
      </c>
      <c r="E29" s="99">
        <f t="shared" si="0"/>
        <v>9.3522583749323393E-7</v>
      </c>
      <c r="F29" s="97">
        <v>2.8079999999999998</v>
      </c>
      <c r="G29" s="97">
        <v>8.56</v>
      </c>
      <c r="H29" s="97">
        <v>8.32</v>
      </c>
      <c r="I29" s="97">
        <v>8.08</v>
      </c>
    </row>
    <row r="30" spans="2:9" x14ac:dyDescent="0.25">
      <c r="B30" s="96">
        <f t="shared" si="1"/>
        <v>24</v>
      </c>
      <c r="C30" s="97">
        <v>997.38</v>
      </c>
      <c r="D30" s="98">
        <v>9.1100000000000003E-4</v>
      </c>
      <c r="E30" s="99">
        <f t="shared" si="0"/>
        <v>9.1339308989552636E-7</v>
      </c>
      <c r="F30" s="97">
        <v>2.9820000000000002</v>
      </c>
      <c r="G30" s="97">
        <v>8.4</v>
      </c>
      <c r="H30" s="97">
        <v>8.16</v>
      </c>
      <c r="I30" s="97">
        <v>7.93</v>
      </c>
    </row>
    <row r="31" spans="2:9" x14ac:dyDescent="0.25">
      <c r="B31" s="96">
        <f t="shared" si="1"/>
        <v>25</v>
      </c>
      <c r="C31" s="97">
        <v>997.13</v>
      </c>
      <c r="D31" s="98">
        <v>8.9099999999999997E-4</v>
      </c>
      <c r="E31" s="99">
        <f t="shared" si="0"/>
        <v>8.9356453020167885E-7</v>
      </c>
      <c r="F31" s="97">
        <v>3.1659999999999999</v>
      </c>
      <c r="G31" s="97">
        <v>8.24</v>
      </c>
      <c r="H31" s="97">
        <v>8.01</v>
      </c>
      <c r="I31" s="97">
        <v>7.79</v>
      </c>
    </row>
    <row r="32" spans="2:9" x14ac:dyDescent="0.25">
      <c r="B32" s="96">
        <f t="shared" si="1"/>
        <v>26</v>
      </c>
      <c r="C32" s="97">
        <v>996.86</v>
      </c>
      <c r="D32" s="98">
        <v>8.7100000000000003E-4</v>
      </c>
      <c r="E32" s="99">
        <f t="shared" si="0"/>
        <v>8.7374355476195253E-7</v>
      </c>
      <c r="F32" s="97">
        <v>3.36</v>
      </c>
      <c r="G32" s="97">
        <v>8.09</v>
      </c>
      <c r="H32" s="97">
        <v>7.87</v>
      </c>
      <c r="I32" s="97">
        <v>7.65</v>
      </c>
    </row>
    <row r="33" spans="2:9" x14ac:dyDescent="0.25">
      <c r="B33" s="96">
        <f t="shared" si="1"/>
        <v>27</v>
      </c>
      <c r="C33" s="97">
        <v>996.59</v>
      </c>
      <c r="D33" s="98">
        <v>8.52E-4</v>
      </c>
      <c r="E33" s="99">
        <f t="shared" si="0"/>
        <v>8.5491526104014687E-7</v>
      </c>
      <c r="F33" s="97">
        <v>3.5640000000000001</v>
      </c>
      <c r="G33" s="97">
        <v>7.95</v>
      </c>
      <c r="H33" s="97">
        <v>7.73</v>
      </c>
      <c r="I33" s="97">
        <v>7.51</v>
      </c>
    </row>
    <row r="34" spans="2:9" x14ac:dyDescent="0.25">
      <c r="B34" s="96">
        <f t="shared" si="1"/>
        <v>28</v>
      </c>
      <c r="C34" s="97">
        <v>996.31</v>
      </c>
      <c r="D34" s="98">
        <v>8.3299999999999997E-4</v>
      </c>
      <c r="E34" s="99">
        <f t="shared" si="0"/>
        <v>8.3608515421906841E-7</v>
      </c>
      <c r="F34" s="97">
        <v>3.7789999999999999</v>
      </c>
      <c r="G34" s="97">
        <v>7.81</v>
      </c>
      <c r="H34" s="97">
        <v>7.59</v>
      </c>
      <c r="I34" s="97">
        <v>7.38</v>
      </c>
    </row>
    <row r="35" spans="2:9" x14ac:dyDescent="0.25">
      <c r="B35" s="96">
        <f t="shared" si="1"/>
        <v>29</v>
      </c>
      <c r="C35" s="97">
        <v>996.02</v>
      </c>
      <c r="D35" s="98">
        <v>8.1499999999999997E-4</v>
      </c>
      <c r="E35" s="99">
        <f t="shared" si="0"/>
        <v>8.1825666151282104E-7</v>
      </c>
      <c r="F35" s="97">
        <v>4.0039999999999996</v>
      </c>
      <c r="G35" s="97">
        <v>7.67</v>
      </c>
      <c r="H35" s="97">
        <v>7.46</v>
      </c>
      <c r="I35" s="97">
        <v>7.26</v>
      </c>
    </row>
    <row r="36" spans="2:9" x14ac:dyDescent="0.25">
      <c r="B36" s="96">
        <f t="shared" si="1"/>
        <v>30</v>
      </c>
      <c r="C36" s="97">
        <v>995.71</v>
      </c>
      <c r="D36" s="98">
        <v>7.9799999999999999E-4</v>
      </c>
      <c r="E36" s="99">
        <f t="shared" si="0"/>
        <v>8.0143816974821981E-7</v>
      </c>
      <c r="F36" s="97">
        <v>4.242</v>
      </c>
      <c r="G36" s="97">
        <v>7.54</v>
      </c>
      <c r="H36" s="97">
        <v>7.33</v>
      </c>
      <c r="I36" s="97">
        <v>7.14</v>
      </c>
    </row>
    <row r="37" spans="2:9" x14ac:dyDescent="0.25">
      <c r="B37" s="96">
        <f t="shared" si="1"/>
        <v>31</v>
      </c>
      <c r="C37" s="97">
        <v>995.41</v>
      </c>
      <c r="D37" s="98">
        <v>7.8100000000000001E-4</v>
      </c>
      <c r="E37" s="99">
        <f t="shared" si="0"/>
        <v>7.8460132005907112E-7</v>
      </c>
      <c r="F37" s="97">
        <v>4.4909999999999997</v>
      </c>
      <c r="G37" s="97">
        <v>7.41</v>
      </c>
      <c r="H37" s="97">
        <v>7.21</v>
      </c>
      <c r="I37" s="97">
        <v>7.02</v>
      </c>
    </row>
    <row r="38" spans="2:9" x14ac:dyDescent="0.25">
      <c r="B38" s="96">
        <f t="shared" si="1"/>
        <v>32</v>
      </c>
      <c r="C38" s="97">
        <v>995.09</v>
      </c>
      <c r="D38" s="98">
        <v>7.6499999999999995E-4</v>
      </c>
      <c r="E38" s="99">
        <f t="shared" si="0"/>
        <v>7.6877468369695196E-7</v>
      </c>
      <c r="F38" s="97">
        <v>4.7539999999999996</v>
      </c>
      <c r="G38" s="97">
        <v>7.29</v>
      </c>
      <c r="H38" s="97">
        <v>7.09</v>
      </c>
      <c r="I38" s="97">
        <v>6.9</v>
      </c>
    </row>
    <row r="39" spans="2:9" x14ac:dyDescent="0.25">
      <c r="B39" s="96">
        <f t="shared" si="1"/>
        <v>33</v>
      </c>
      <c r="C39" s="97">
        <v>994.76</v>
      </c>
      <c r="D39" s="98">
        <v>7.4899999999999999E-4</v>
      </c>
      <c r="E39" s="99">
        <f t="shared" si="0"/>
        <v>7.5294543407455063E-7</v>
      </c>
      <c r="F39" s="97">
        <v>5.0289999999999999</v>
      </c>
      <c r="G39" s="97">
        <v>7.17</v>
      </c>
      <c r="H39" s="97">
        <v>6.98</v>
      </c>
      <c r="I39" s="97">
        <v>6.79</v>
      </c>
    </row>
    <row r="40" spans="2:9" x14ac:dyDescent="0.25">
      <c r="B40" s="96">
        <f t="shared" si="1"/>
        <v>34</v>
      </c>
      <c r="C40" s="97">
        <v>994.43</v>
      </c>
      <c r="D40" s="98">
        <v>7.3399999999999995E-4</v>
      </c>
      <c r="E40" s="99">
        <f t="shared" si="0"/>
        <v>7.3811127982864557E-7</v>
      </c>
      <c r="F40" s="97">
        <v>5.3179999999999996</v>
      </c>
      <c r="G40" s="97">
        <v>7.05</v>
      </c>
      <c r="H40" s="97">
        <v>6.86</v>
      </c>
      <c r="I40" s="97">
        <v>6.68</v>
      </c>
    </row>
    <row r="41" spans="2:9" x14ac:dyDescent="0.25">
      <c r="B41" s="96">
        <f t="shared" si="1"/>
        <v>35</v>
      </c>
      <c r="C41" s="97">
        <v>994.08</v>
      </c>
      <c r="D41" s="98">
        <v>7.2000000000000005E-4</v>
      </c>
      <c r="E41" s="99">
        <f t="shared" si="0"/>
        <v>7.2428778367938198E-7</v>
      </c>
      <c r="F41" s="97">
        <v>5.6219999999999999</v>
      </c>
      <c r="G41" s="97">
        <v>6.93</v>
      </c>
      <c r="H41" s="97">
        <v>6.75</v>
      </c>
      <c r="I41" s="97">
        <v>6.58</v>
      </c>
    </row>
    <row r="42" spans="2:9" x14ac:dyDescent="0.25">
      <c r="B42" s="96">
        <f t="shared" si="1"/>
        <v>36</v>
      </c>
      <c r="C42" s="97">
        <v>993.73</v>
      </c>
      <c r="D42" s="98">
        <v>7.0500000000000001E-4</v>
      </c>
      <c r="E42" s="99">
        <f t="shared" si="0"/>
        <v>7.0944824046773266E-7</v>
      </c>
      <c r="F42" s="97">
        <v>5.94</v>
      </c>
      <c r="G42" s="97">
        <v>6.82</v>
      </c>
      <c r="H42" s="97">
        <v>6.65</v>
      </c>
      <c r="I42" s="97">
        <v>6.47</v>
      </c>
    </row>
    <row r="43" spans="2:9" x14ac:dyDescent="0.25">
      <c r="B43" s="96">
        <f t="shared" si="1"/>
        <v>37</v>
      </c>
      <c r="C43" s="97">
        <v>993.37</v>
      </c>
      <c r="D43" s="98">
        <v>6.9200000000000002E-4</v>
      </c>
      <c r="E43" s="99">
        <f t="shared" si="0"/>
        <v>6.9661858119331165E-7</v>
      </c>
      <c r="F43" s="97">
        <v>6.274</v>
      </c>
      <c r="G43" s="97">
        <v>6.72</v>
      </c>
      <c r="H43" s="97">
        <v>6.54</v>
      </c>
      <c r="I43" s="97">
        <v>6.37</v>
      </c>
    </row>
    <row r="44" spans="2:9" x14ac:dyDescent="0.25">
      <c r="B44" s="96">
        <f t="shared" si="1"/>
        <v>38</v>
      </c>
      <c r="C44" s="97">
        <v>993</v>
      </c>
      <c r="D44" s="98">
        <v>6.78E-4</v>
      </c>
      <c r="E44" s="99">
        <f t="shared" si="0"/>
        <v>6.8277945619335344E-7</v>
      </c>
      <c r="F44" s="97">
        <v>6.6239999999999997</v>
      </c>
      <c r="G44" s="97">
        <v>6.61</v>
      </c>
      <c r="H44" s="97">
        <v>6.44</v>
      </c>
      <c r="I44" s="97">
        <v>6.28</v>
      </c>
    </row>
    <row r="45" spans="2:9" x14ac:dyDescent="0.25">
      <c r="B45" s="96">
        <f t="shared" si="1"/>
        <v>39</v>
      </c>
      <c r="C45" s="97">
        <v>992.63</v>
      </c>
      <c r="D45" s="98">
        <v>6.6600000000000003E-4</v>
      </c>
      <c r="E45" s="99">
        <f t="shared" si="0"/>
        <v>6.709448636450642E-7</v>
      </c>
      <c r="F45" s="97">
        <v>6.9909999999999997</v>
      </c>
      <c r="G45" s="97">
        <v>6.51</v>
      </c>
      <c r="H45" s="97">
        <v>6.34</v>
      </c>
      <c r="I45" s="97">
        <v>6.18</v>
      </c>
    </row>
    <row r="46" spans="2:9" x14ac:dyDescent="0.25">
      <c r="B46" s="96">
        <f t="shared" si="1"/>
        <v>40</v>
      </c>
      <c r="C46" s="97">
        <v>992.25</v>
      </c>
      <c r="D46" s="98">
        <v>6.5300000000000004E-4</v>
      </c>
      <c r="E46" s="99">
        <f t="shared" si="0"/>
        <v>6.5810027714789624E-7</v>
      </c>
      <c r="F46" s="97">
        <v>7.375</v>
      </c>
      <c r="G46" s="97">
        <v>6.41</v>
      </c>
      <c r="H46" s="97">
        <v>6.25</v>
      </c>
      <c r="I46" s="97">
        <v>6.09</v>
      </c>
    </row>
    <row r="47" spans="2:9" ht="29.25" customHeight="1" x14ac:dyDescent="0.25">
      <c r="B47" s="170" t="s">
        <v>114</v>
      </c>
      <c r="C47" s="171"/>
      <c r="D47" s="171"/>
      <c r="E47" s="171"/>
      <c r="F47" s="172"/>
      <c r="G47" s="173" t="s">
        <v>115</v>
      </c>
      <c r="H47" s="174"/>
      <c r="I47" s="175"/>
    </row>
    <row r="48" spans="2:9" x14ac:dyDescent="0.25">
      <c r="B48" s="100" t="s">
        <v>116</v>
      </c>
      <c r="C48" s="101"/>
      <c r="D48" s="101"/>
      <c r="E48" s="102"/>
      <c r="F48" s="103"/>
      <c r="G48" s="176"/>
      <c r="H48" s="177"/>
      <c r="I48" s="178"/>
    </row>
  </sheetData>
  <mergeCells count="9">
    <mergeCell ref="B47:F47"/>
    <mergeCell ref="G47:I48"/>
    <mergeCell ref="G3:I3"/>
    <mergeCell ref="B4:B5"/>
    <mergeCell ref="C4:C5"/>
    <mergeCell ref="D4:D5"/>
    <mergeCell ref="E4:E5"/>
    <mergeCell ref="F4:F5"/>
    <mergeCell ref="G4:I4"/>
  </mergeCells>
  <hyperlinks>
    <hyperlink ref="B48" r:id="rId1" xr:uid="{E2F8F713-39AF-4873-A6A7-81849C6666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Parrilla</vt:lpstr>
      <vt:lpstr>Agua-T°C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Carlos Paez</cp:lastModifiedBy>
  <dcterms:created xsi:type="dcterms:W3CDTF">2022-12-30T14:16:26Z</dcterms:created>
  <dcterms:modified xsi:type="dcterms:W3CDTF">2024-02-29T19:35:14Z</dcterms:modified>
</cp:coreProperties>
</file>